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zacekj\Desktop\PRACOVNÍ\PROJEKTY PORSENNA\18097 EPC Vrchlabí\01 Zadávací dokumentace - Vrchlabí (2018-12-15)\ČÁST 8 - Způsob hodnocení nabídek\"/>
    </mc:Choice>
  </mc:AlternateContent>
  <bookViews>
    <workbookView xWindow="0" yWindow="0" windowWidth="20490" windowHeight="7755" tabRatio="909" activeTab="6"/>
  </bookViews>
  <sheets>
    <sheet name="Klimadata" sheetId="47" r:id="rId1"/>
    <sheet name="01 Zámek č.p. 1" sheetId="48" r:id="rId2"/>
    <sheet name="02 Radnice č.p. 8" sheetId="49" r:id="rId3"/>
    <sheet name="03 ZŠ Nám. Míru" sheetId="50" r:id="rId4"/>
    <sheet name="04 ZŠ Školní" sheetId="51" r:id="rId5"/>
    <sheet name="05 MŠ Letná" sheetId="52" r:id="rId6"/>
    <sheet name="REFERENČNÍ SPOTŘEBY" sheetId="17" r:id="rId7"/>
    <sheet name="Investice a úspory" sheetId="19" r:id="rId8"/>
    <sheet name="Modelová nabídka" sheetId="20" r:id="rId9"/>
    <sheet name="Cenová příloha (dok. 5e ZD) " sheetId="21" r:id="rId10"/>
    <sheet name="Hodnocení nabídek" sheetId="22" r:id="rId11"/>
  </sheets>
  <calcPr calcId="162913"/>
</workbook>
</file>

<file path=xl/calcChain.xml><?xml version="1.0" encoding="utf-8"?>
<calcChain xmlns="http://schemas.openxmlformats.org/spreadsheetml/2006/main">
  <c r="D13" i="20" l="1"/>
  <c r="D12" i="20"/>
  <c r="D11" i="20"/>
  <c r="D10" i="20"/>
  <c r="D9" i="20"/>
  <c r="D8" i="20"/>
  <c r="D7" i="20"/>
  <c r="D6" i="20"/>
  <c r="D5" i="20"/>
  <c r="C13" i="19"/>
  <c r="G18" i="51"/>
  <c r="H18" i="51"/>
  <c r="H19" i="51" s="1"/>
  <c r="G34" i="51"/>
  <c r="H34" i="51"/>
  <c r="H35" i="51" s="1"/>
  <c r="G50" i="51"/>
  <c r="H50" i="51"/>
  <c r="H51" i="51" s="1"/>
  <c r="G66" i="51"/>
  <c r="H66" i="51"/>
  <c r="H67" i="51"/>
  <c r="U23" i="17" l="1"/>
  <c r="Q24" i="17"/>
  <c r="Q22" i="17"/>
  <c r="L26" i="17"/>
  <c r="U11" i="17"/>
  <c r="T11" i="17"/>
  <c r="Q11" i="17"/>
  <c r="P11" i="17"/>
  <c r="O11" i="17"/>
  <c r="L11" i="17"/>
  <c r="K11" i="17"/>
  <c r="U9" i="17"/>
  <c r="V9" i="17" s="1"/>
  <c r="T9" i="17"/>
  <c r="P9" i="17"/>
  <c r="Q9" i="17"/>
  <c r="O9" i="17"/>
  <c r="L9" i="17"/>
  <c r="K9" i="17"/>
  <c r="U8" i="17"/>
  <c r="T8" i="17"/>
  <c r="I9" i="17"/>
  <c r="I11" i="17"/>
  <c r="I8" i="17"/>
  <c r="H8" i="17"/>
  <c r="G8" i="17"/>
  <c r="AA7" i="17"/>
  <c r="V8" i="17"/>
  <c r="V11" i="17"/>
  <c r="V7" i="17"/>
  <c r="U7" i="17"/>
  <c r="T7" i="17"/>
  <c r="Q7" i="17"/>
  <c r="R7" i="17" s="1"/>
  <c r="P7" i="17"/>
  <c r="O7" i="17"/>
  <c r="L7" i="17"/>
  <c r="M7" i="17" s="1"/>
  <c r="K7" i="17"/>
  <c r="Y67" i="52"/>
  <c r="H67" i="52"/>
  <c r="AG66" i="52"/>
  <c r="AG67" i="52" s="1"/>
  <c r="AF66" i="52"/>
  <c r="AE66" i="52"/>
  <c r="AC66" i="52"/>
  <c r="AC67" i="52" s="1"/>
  <c r="AB66" i="52"/>
  <c r="Y66" i="52"/>
  <c r="V66" i="52"/>
  <c r="T66" i="52"/>
  <c r="T67" i="52" s="1"/>
  <c r="R66" i="52"/>
  <c r="Q66" i="52"/>
  <c r="P66" i="52"/>
  <c r="P67" i="52" s="1"/>
  <c r="O66" i="52"/>
  <c r="M66" i="52"/>
  <c r="M67" i="52" s="1"/>
  <c r="L66" i="52"/>
  <c r="K66" i="52"/>
  <c r="J66" i="52"/>
  <c r="J67" i="52" s="1"/>
  <c r="I66" i="52"/>
  <c r="H66" i="52"/>
  <c r="G66" i="52"/>
  <c r="S56" i="52"/>
  <c r="S55" i="52"/>
  <c r="T54" i="52"/>
  <c r="S54" i="52"/>
  <c r="AG50" i="52"/>
  <c r="AG51" i="52" s="1"/>
  <c r="AF50" i="52"/>
  <c r="AD50" i="52"/>
  <c r="AC50" i="52"/>
  <c r="AC51" i="52" s="1"/>
  <c r="AB50" i="52"/>
  <c r="AA50" i="52"/>
  <c r="R50" i="52"/>
  <c r="Q50" i="52"/>
  <c r="P50" i="52"/>
  <c r="P51" i="52" s="1"/>
  <c r="O50" i="52"/>
  <c r="M50" i="52"/>
  <c r="M51" i="52" s="1"/>
  <c r="L50" i="52"/>
  <c r="K50" i="52"/>
  <c r="J50" i="52"/>
  <c r="J51" i="52" s="1"/>
  <c r="I50" i="52"/>
  <c r="H50" i="52"/>
  <c r="H51" i="52" s="1"/>
  <c r="G50" i="52"/>
  <c r="S48" i="52"/>
  <c r="X47" i="52"/>
  <c r="V47" i="52"/>
  <c r="W47" i="52" s="1"/>
  <c r="S47" i="52"/>
  <c r="S46" i="52"/>
  <c r="S45" i="52"/>
  <c r="S44" i="52"/>
  <c r="X43" i="52"/>
  <c r="V43" i="52"/>
  <c r="W43" i="52" s="1"/>
  <c r="S43" i="52"/>
  <c r="T42" i="52"/>
  <c r="T50" i="52" s="1"/>
  <c r="T51" i="52" s="1"/>
  <c r="S42" i="52"/>
  <c r="S41" i="52"/>
  <c r="X40" i="52"/>
  <c r="V40" i="52"/>
  <c r="W40" i="52" s="1"/>
  <c r="S40" i="52"/>
  <c r="S39" i="52"/>
  <c r="V38" i="52"/>
  <c r="X38" i="52" s="1"/>
  <c r="S38" i="52"/>
  <c r="S50" i="52" s="1"/>
  <c r="AC35" i="52"/>
  <c r="AG34" i="52"/>
  <c r="AG35" i="52" s="1"/>
  <c r="AF34" i="52"/>
  <c r="AD34" i="52"/>
  <c r="AC34" i="52"/>
  <c r="AB34" i="52"/>
  <c r="AA34" i="52"/>
  <c r="T34" i="52"/>
  <c r="T35" i="52" s="1"/>
  <c r="R34" i="52"/>
  <c r="Q34" i="52"/>
  <c r="P34" i="52"/>
  <c r="P35" i="52" s="1"/>
  <c r="O34" i="52"/>
  <c r="M34" i="52"/>
  <c r="M35" i="52" s="1"/>
  <c r="L34" i="52"/>
  <c r="K34" i="52"/>
  <c r="J34" i="52"/>
  <c r="J35" i="52" s="1"/>
  <c r="I34" i="52"/>
  <c r="H34" i="52"/>
  <c r="H35" i="52" s="1"/>
  <c r="G34" i="52"/>
  <c r="S32" i="52"/>
  <c r="W31" i="52"/>
  <c r="V31" i="52"/>
  <c r="X31" i="52" s="1"/>
  <c r="Y31" i="52" s="1"/>
  <c r="S31" i="52"/>
  <c r="S30" i="52"/>
  <c r="W27" i="52"/>
  <c r="V27" i="52"/>
  <c r="X27" i="52" s="1"/>
  <c r="Y27" i="52" s="1"/>
  <c r="S26" i="52"/>
  <c r="X24" i="52"/>
  <c r="Y24" i="52" s="1"/>
  <c r="V24" i="52"/>
  <c r="W24" i="52" s="1"/>
  <c r="X22" i="52"/>
  <c r="Y22" i="52" s="1"/>
  <c r="Y34" i="52" s="1"/>
  <c r="Y35" i="52" s="1"/>
  <c r="V22" i="52"/>
  <c r="W22" i="52" s="1"/>
  <c r="S22" i="52"/>
  <c r="B22" i="52"/>
  <c r="B38" i="52" s="1"/>
  <c r="B54" i="52" s="1"/>
  <c r="T19" i="52"/>
  <c r="H19" i="52"/>
  <c r="AG18" i="52"/>
  <c r="AG19" i="52" s="1"/>
  <c r="AF18" i="52"/>
  <c r="AD18" i="52"/>
  <c r="AC18" i="52"/>
  <c r="AC19" i="52" s="1"/>
  <c r="AB18" i="52"/>
  <c r="AA18" i="52"/>
  <c r="T18" i="52"/>
  <c r="R18" i="52"/>
  <c r="Q18" i="52"/>
  <c r="P18" i="52"/>
  <c r="P19" i="52" s="1"/>
  <c r="O18" i="52"/>
  <c r="M18" i="52"/>
  <c r="M19" i="52" s="1"/>
  <c r="L18" i="52"/>
  <c r="K18" i="52"/>
  <c r="J18" i="52"/>
  <c r="J19" i="52" s="1"/>
  <c r="I18" i="52"/>
  <c r="H18" i="52"/>
  <c r="G18" i="52"/>
  <c r="V15" i="52"/>
  <c r="X15" i="52" s="1"/>
  <c r="V11" i="52"/>
  <c r="X11" i="52" s="1"/>
  <c r="S10" i="52"/>
  <c r="W8" i="52"/>
  <c r="V8" i="52"/>
  <c r="X8" i="52" s="1"/>
  <c r="Y8" i="52" s="1"/>
  <c r="AC6" i="52"/>
  <c r="X6" i="52"/>
  <c r="Y6" i="52" s="1"/>
  <c r="V6" i="52"/>
  <c r="W6" i="52" s="1"/>
  <c r="S6" i="52"/>
  <c r="B3" i="52"/>
  <c r="AB66" i="51"/>
  <c r="AB67" i="51" s="1"/>
  <c r="Y66" i="51"/>
  <c r="W66" i="51"/>
  <c r="W67" i="51" s="1"/>
  <c r="V66" i="51"/>
  <c r="U66" i="51"/>
  <c r="T66" i="51"/>
  <c r="T67" i="51" s="1"/>
  <c r="R66" i="51"/>
  <c r="Q66" i="51"/>
  <c r="P66" i="51"/>
  <c r="P67" i="51" s="1"/>
  <c r="O66" i="51"/>
  <c r="M66" i="51"/>
  <c r="M67" i="51" s="1"/>
  <c r="L66" i="51"/>
  <c r="K66" i="51"/>
  <c r="J66" i="51"/>
  <c r="J67" i="51" s="1"/>
  <c r="I66" i="51"/>
  <c r="Y50" i="51"/>
  <c r="T10" i="17" s="1"/>
  <c r="W50" i="51"/>
  <c r="W51" i="51" s="1"/>
  <c r="V50" i="51"/>
  <c r="U50" i="51"/>
  <c r="T50" i="51"/>
  <c r="T51" i="51" s="1"/>
  <c r="R50" i="51"/>
  <c r="Q50" i="51"/>
  <c r="P50" i="51"/>
  <c r="O50" i="51"/>
  <c r="M50" i="51"/>
  <c r="M51" i="51" s="1"/>
  <c r="L50" i="51"/>
  <c r="K50" i="51"/>
  <c r="J50" i="51"/>
  <c r="J51" i="51" s="1"/>
  <c r="I50" i="51"/>
  <c r="I51" i="51" s="1"/>
  <c r="S49" i="51"/>
  <c r="AA47" i="51"/>
  <c r="Z47" i="51"/>
  <c r="AA44" i="51"/>
  <c r="Z44" i="51"/>
  <c r="AA41" i="51"/>
  <c r="Z41" i="51"/>
  <c r="AA38" i="51"/>
  <c r="Z38" i="51"/>
  <c r="S38" i="51"/>
  <c r="Y34" i="51"/>
  <c r="W34" i="51"/>
  <c r="W35" i="51" s="1"/>
  <c r="V34" i="51"/>
  <c r="U34" i="51"/>
  <c r="T34" i="51"/>
  <c r="T35" i="51" s="1"/>
  <c r="R34" i="51"/>
  <c r="Q34" i="51"/>
  <c r="O34" i="51"/>
  <c r="M34" i="51"/>
  <c r="M35" i="51" s="1"/>
  <c r="L34" i="51"/>
  <c r="K34" i="51"/>
  <c r="I34" i="51"/>
  <c r="I35" i="51" s="1"/>
  <c r="S33" i="51"/>
  <c r="J33" i="51"/>
  <c r="J32" i="51"/>
  <c r="AA31" i="51"/>
  <c r="Z31" i="51"/>
  <c r="J31" i="51"/>
  <c r="J30" i="51"/>
  <c r="J29" i="51"/>
  <c r="AA28" i="51"/>
  <c r="AB28" i="51" s="1"/>
  <c r="Z28" i="51"/>
  <c r="J28" i="51"/>
  <c r="P27" i="51"/>
  <c r="J27" i="51"/>
  <c r="P26" i="51"/>
  <c r="J26" i="51"/>
  <c r="AA25" i="51"/>
  <c r="Z25" i="51"/>
  <c r="P25" i="51"/>
  <c r="J25" i="51"/>
  <c r="P24" i="51"/>
  <c r="J24" i="51"/>
  <c r="P23" i="51"/>
  <c r="J23" i="51"/>
  <c r="AA22" i="51"/>
  <c r="Z22" i="51"/>
  <c r="S22" i="51"/>
  <c r="P22" i="51"/>
  <c r="J22" i="51"/>
  <c r="B22" i="51"/>
  <c r="B38" i="51" s="1"/>
  <c r="B54" i="51" s="1"/>
  <c r="Y18" i="51"/>
  <c r="W18" i="51"/>
  <c r="W19" i="51" s="1"/>
  <c r="V18" i="51"/>
  <c r="U18" i="51"/>
  <c r="T18" i="51"/>
  <c r="T19" i="51" s="1"/>
  <c r="R18" i="51"/>
  <c r="Q18" i="51"/>
  <c r="P18" i="51"/>
  <c r="P19" i="51" s="1"/>
  <c r="O18" i="51"/>
  <c r="M18" i="51"/>
  <c r="M19" i="51" s="1"/>
  <c r="L18" i="51"/>
  <c r="K18" i="51"/>
  <c r="S17" i="51"/>
  <c r="J17" i="51"/>
  <c r="J16" i="51"/>
  <c r="AA15" i="51"/>
  <c r="Z15" i="51"/>
  <c r="J15" i="51"/>
  <c r="I14" i="51"/>
  <c r="I18" i="51" s="1"/>
  <c r="I19" i="51" s="1"/>
  <c r="J13" i="51"/>
  <c r="AA12" i="51"/>
  <c r="Z12" i="51"/>
  <c r="J12" i="51"/>
  <c r="J11" i="51"/>
  <c r="J10" i="51"/>
  <c r="AA9" i="51"/>
  <c r="Z9" i="51"/>
  <c r="J9" i="51"/>
  <c r="J8" i="51"/>
  <c r="AA6" i="51"/>
  <c r="Z6" i="51"/>
  <c r="S6" i="51"/>
  <c r="B3" i="51"/>
  <c r="AI67" i="50"/>
  <c r="Q67" i="50"/>
  <c r="AM66" i="50"/>
  <c r="AM67" i="50" s="1"/>
  <c r="AL66" i="50"/>
  <c r="AK66" i="50"/>
  <c r="AI66" i="50"/>
  <c r="AH66" i="50"/>
  <c r="AG66" i="50"/>
  <c r="AD66" i="50"/>
  <c r="AD67" i="50" s="1"/>
  <c r="AA66" i="50"/>
  <c r="Z66" i="50"/>
  <c r="Z67" i="50" s="1"/>
  <c r="W66" i="50"/>
  <c r="U66" i="50"/>
  <c r="U67" i="50" s="1"/>
  <c r="S66" i="50"/>
  <c r="R66" i="50"/>
  <c r="Q66" i="50"/>
  <c r="O66" i="50"/>
  <c r="M66" i="50"/>
  <c r="M67" i="50" s="1"/>
  <c r="L66" i="50"/>
  <c r="K66" i="50"/>
  <c r="J66" i="50"/>
  <c r="J67" i="50" s="1"/>
  <c r="I66" i="50"/>
  <c r="H66" i="50"/>
  <c r="H67" i="50" s="1"/>
  <c r="G66" i="50"/>
  <c r="AI51" i="50"/>
  <c r="J51" i="50"/>
  <c r="AM50" i="50"/>
  <c r="AM51" i="50" s="1"/>
  <c r="AL50" i="50"/>
  <c r="AJ50" i="50"/>
  <c r="AI50" i="50"/>
  <c r="AH50" i="50"/>
  <c r="AA50" i="50"/>
  <c r="W50" i="50"/>
  <c r="S50" i="50"/>
  <c r="R50" i="50"/>
  <c r="O50" i="50"/>
  <c r="M50" i="50"/>
  <c r="M51" i="50" s="1"/>
  <c r="L50" i="50"/>
  <c r="K50" i="50"/>
  <c r="J50" i="50"/>
  <c r="I50" i="50"/>
  <c r="H50" i="50"/>
  <c r="H51" i="50" s="1"/>
  <c r="G50" i="50"/>
  <c r="AC47" i="50"/>
  <c r="AB47" i="50"/>
  <c r="AD47" i="50" s="1"/>
  <c r="Y47" i="50"/>
  <c r="Z47" i="50" s="1"/>
  <c r="X47" i="50"/>
  <c r="AC44" i="50"/>
  <c r="AB44" i="50"/>
  <c r="AD44" i="50" s="1"/>
  <c r="Y44" i="50"/>
  <c r="Z44" i="50" s="1"/>
  <c r="X44" i="50"/>
  <c r="AG41" i="50"/>
  <c r="AC41" i="50"/>
  <c r="AD41" i="50" s="1"/>
  <c r="AB41" i="50"/>
  <c r="Y41" i="50"/>
  <c r="X41" i="50"/>
  <c r="Z41" i="50" s="1"/>
  <c r="Z50" i="50" s="1"/>
  <c r="Z51" i="50" s="1"/>
  <c r="AG38" i="50"/>
  <c r="AF50" i="50" s="1"/>
  <c r="AC38" i="50"/>
  <c r="AB38" i="50"/>
  <c r="AD38" i="50" s="1"/>
  <c r="AD50" i="50" s="1"/>
  <c r="AD51" i="50" s="1"/>
  <c r="Y38" i="50"/>
  <c r="Z38" i="50" s="1"/>
  <c r="X38" i="50"/>
  <c r="T38" i="50"/>
  <c r="Q38" i="50"/>
  <c r="Q50" i="50" s="1"/>
  <c r="Q51" i="50" s="1"/>
  <c r="T37" i="50"/>
  <c r="U38" i="50" s="1"/>
  <c r="U50" i="50" s="1"/>
  <c r="U51" i="50" s="1"/>
  <c r="P37" i="50"/>
  <c r="AM35" i="50"/>
  <c r="H35" i="50"/>
  <c r="AM34" i="50"/>
  <c r="AL34" i="50"/>
  <c r="AJ34" i="50"/>
  <c r="AI34" i="50"/>
  <c r="AI35" i="50" s="1"/>
  <c r="AH34" i="50"/>
  <c r="AF34" i="50"/>
  <c r="AA34" i="50"/>
  <c r="W34" i="50"/>
  <c r="S34" i="50"/>
  <c r="R34" i="50"/>
  <c r="O34" i="50"/>
  <c r="M34" i="50"/>
  <c r="M35" i="50" s="1"/>
  <c r="L34" i="50"/>
  <c r="K34" i="50"/>
  <c r="J34" i="50"/>
  <c r="J35" i="50" s="1"/>
  <c r="I34" i="50"/>
  <c r="H34" i="50"/>
  <c r="G34" i="50"/>
  <c r="T33" i="50"/>
  <c r="Q33" i="50"/>
  <c r="AC31" i="50"/>
  <c r="AB31" i="50"/>
  <c r="AD31" i="50" s="1"/>
  <c r="Y31" i="50"/>
  <c r="Z31" i="50" s="1"/>
  <c r="X31" i="50"/>
  <c r="AD28" i="50"/>
  <c r="AC28" i="50"/>
  <c r="AB28" i="50"/>
  <c r="Y28" i="50"/>
  <c r="Z28" i="50" s="1"/>
  <c r="X28" i="50"/>
  <c r="AC25" i="50"/>
  <c r="AB25" i="50"/>
  <c r="AD25" i="50" s="1"/>
  <c r="Y25" i="50"/>
  <c r="Z25" i="50" s="1"/>
  <c r="X25" i="50"/>
  <c r="AC22" i="50"/>
  <c r="AB22" i="50"/>
  <c r="AD22" i="50" s="1"/>
  <c r="Y22" i="50"/>
  <c r="Z22" i="50" s="1"/>
  <c r="Z34" i="50" s="1"/>
  <c r="Z35" i="50" s="1"/>
  <c r="X22" i="50"/>
  <c r="T22" i="50"/>
  <c r="Q22" i="50"/>
  <c r="Q34" i="50" s="1"/>
  <c r="Q35" i="50" s="1"/>
  <c r="B22" i="50"/>
  <c r="B38" i="50" s="1"/>
  <c r="B54" i="50" s="1"/>
  <c r="T21" i="50"/>
  <c r="P21" i="50"/>
  <c r="AM19" i="50"/>
  <c r="H19" i="50"/>
  <c r="AM18" i="50"/>
  <c r="AL18" i="50"/>
  <c r="AJ18" i="50"/>
  <c r="AI18" i="50"/>
  <c r="AI19" i="50" s="1"/>
  <c r="AH18" i="50"/>
  <c r="AF18" i="50"/>
  <c r="AA18" i="50"/>
  <c r="W18" i="50"/>
  <c r="S18" i="50"/>
  <c r="R18" i="50"/>
  <c r="Q18" i="50"/>
  <c r="Q19" i="50" s="1"/>
  <c r="O18" i="50"/>
  <c r="M18" i="50"/>
  <c r="M19" i="50" s="1"/>
  <c r="L18" i="50"/>
  <c r="K18" i="50"/>
  <c r="J18" i="50"/>
  <c r="J19" i="50" s="1"/>
  <c r="I18" i="50"/>
  <c r="H18" i="50"/>
  <c r="G18" i="50"/>
  <c r="T17" i="50"/>
  <c r="Q17" i="50"/>
  <c r="AC15" i="50"/>
  <c r="AB15" i="50"/>
  <c r="AD15" i="50" s="1"/>
  <c r="Y15" i="50"/>
  <c r="Z15" i="50" s="1"/>
  <c r="X15" i="50"/>
  <c r="AC12" i="50"/>
  <c r="AB12" i="50"/>
  <c r="AD12" i="50" s="1"/>
  <c r="Y12" i="50"/>
  <c r="Z12" i="50" s="1"/>
  <c r="X12" i="50"/>
  <c r="AD9" i="50"/>
  <c r="AC9" i="50"/>
  <c r="AB9" i="50"/>
  <c r="Y9" i="50"/>
  <c r="Z9" i="50" s="1"/>
  <c r="X9" i="50"/>
  <c r="AC6" i="50"/>
  <c r="AB6" i="50"/>
  <c r="AD6" i="50" s="1"/>
  <c r="AD18" i="50" s="1"/>
  <c r="AD19" i="50" s="1"/>
  <c r="Y6" i="50"/>
  <c r="Z6" i="50" s="1"/>
  <c r="Z18" i="50" s="1"/>
  <c r="Z19" i="50" s="1"/>
  <c r="X6" i="50"/>
  <c r="B3" i="50"/>
  <c r="AB67" i="49"/>
  <c r="S67" i="49"/>
  <c r="N67" i="49"/>
  <c r="AF66" i="49"/>
  <c r="AF67" i="49" s="1"/>
  <c r="AE66" i="49"/>
  <c r="AD66" i="49"/>
  <c r="AB66" i="49"/>
  <c r="AA66" i="49"/>
  <c r="U66" i="49"/>
  <c r="S66" i="49"/>
  <c r="R66" i="49"/>
  <c r="Q66" i="49"/>
  <c r="Q67" i="49" s="1"/>
  <c r="P66" i="49"/>
  <c r="N66" i="49"/>
  <c r="M66" i="49"/>
  <c r="L66" i="49"/>
  <c r="J66" i="49"/>
  <c r="I66" i="49"/>
  <c r="I67" i="49" s="1"/>
  <c r="H66" i="49"/>
  <c r="H67" i="49" s="1"/>
  <c r="G66" i="49"/>
  <c r="W60" i="49"/>
  <c r="X60" i="49" s="1"/>
  <c r="V60" i="49"/>
  <c r="X59" i="49"/>
  <c r="W59" i="49"/>
  <c r="V59" i="49"/>
  <c r="W58" i="49"/>
  <c r="X58" i="49" s="1"/>
  <c r="V58" i="49"/>
  <c r="W57" i="49"/>
  <c r="V57" i="49"/>
  <c r="X57" i="49" s="1"/>
  <c r="W56" i="49"/>
  <c r="X56" i="49" s="1"/>
  <c r="V56" i="49"/>
  <c r="K56" i="49"/>
  <c r="W55" i="49"/>
  <c r="X55" i="49" s="1"/>
  <c r="V55" i="49"/>
  <c r="K55" i="49"/>
  <c r="K66" i="49" s="1"/>
  <c r="K67" i="49" s="1"/>
  <c r="W54" i="49"/>
  <c r="X54" i="49" s="1"/>
  <c r="V54" i="49"/>
  <c r="K54" i="49"/>
  <c r="AF51" i="49"/>
  <c r="Q51" i="49"/>
  <c r="H51" i="49"/>
  <c r="AF50" i="49"/>
  <c r="AE50" i="49"/>
  <c r="AC50" i="49"/>
  <c r="AB50" i="49"/>
  <c r="AB51" i="49" s="1"/>
  <c r="AA50" i="49"/>
  <c r="Z50" i="49"/>
  <c r="U50" i="49"/>
  <c r="S50" i="49"/>
  <c r="S51" i="49" s="1"/>
  <c r="R50" i="49"/>
  <c r="K8" i="17" s="1"/>
  <c r="Q50" i="49"/>
  <c r="P50" i="49"/>
  <c r="N50" i="49"/>
  <c r="N51" i="49" s="1"/>
  <c r="M50" i="49"/>
  <c r="L50" i="49"/>
  <c r="J50" i="49"/>
  <c r="I50" i="49"/>
  <c r="I51" i="49" s="1"/>
  <c r="H50" i="49"/>
  <c r="G50" i="49"/>
  <c r="W49" i="49"/>
  <c r="X49" i="49" s="1"/>
  <c r="V49" i="49"/>
  <c r="K49" i="49"/>
  <c r="W48" i="49"/>
  <c r="X48" i="49" s="1"/>
  <c r="V48" i="49"/>
  <c r="K48" i="49"/>
  <c r="W47" i="49"/>
  <c r="X47" i="49" s="1"/>
  <c r="V47" i="49"/>
  <c r="K47" i="49"/>
  <c r="W46" i="49"/>
  <c r="X46" i="49" s="1"/>
  <c r="V46" i="49"/>
  <c r="K46" i="49"/>
  <c r="W45" i="49"/>
  <c r="X45" i="49" s="1"/>
  <c r="V45" i="49"/>
  <c r="K45" i="49"/>
  <c r="W44" i="49"/>
  <c r="X44" i="49" s="1"/>
  <c r="V44" i="49"/>
  <c r="K44" i="49"/>
  <c r="W43" i="49"/>
  <c r="X43" i="49" s="1"/>
  <c r="V43" i="49"/>
  <c r="K43" i="49"/>
  <c r="W42" i="49"/>
  <c r="X42" i="49" s="1"/>
  <c r="V42" i="49"/>
  <c r="K42" i="49"/>
  <c r="W41" i="49"/>
  <c r="X41" i="49" s="1"/>
  <c r="V41" i="49"/>
  <c r="K41" i="49"/>
  <c r="W40" i="49"/>
  <c r="X40" i="49" s="1"/>
  <c r="V40" i="49"/>
  <c r="K40" i="49"/>
  <c r="W39" i="49"/>
  <c r="X39" i="49" s="1"/>
  <c r="V39" i="49"/>
  <c r="K39" i="49"/>
  <c r="W38" i="49"/>
  <c r="X38" i="49" s="1"/>
  <c r="V38" i="49"/>
  <c r="K38" i="49"/>
  <c r="K50" i="49" s="1"/>
  <c r="K51" i="49" s="1"/>
  <c r="AF35" i="49"/>
  <c r="Q35" i="49"/>
  <c r="H35" i="49"/>
  <c r="AF34" i="49"/>
  <c r="AE34" i="49"/>
  <c r="AC34" i="49"/>
  <c r="AB34" i="49"/>
  <c r="AB35" i="49" s="1"/>
  <c r="AA34" i="49"/>
  <c r="Z34" i="49"/>
  <c r="U34" i="49"/>
  <c r="S34" i="49"/>
  <c r="S35" i="49" s="1"/>
  <c r="R34" i="49"/>
  <c r="Q34" i="49"/>
  <c r="P34" i="49"/>
  <c r="N34" i="49"/>
  <c r="N35" i="49" s="1"/>
  <c r="M34" i="49"/>
  <c r="L34" i="49"/>
  <c r="J34" i="49"/>
  <c r="I34" i="49"/>
  <c r="I35" i="49" s="1"/>
  <c r="H34" i="49"/>
  <c r="G34" i="49"/>
  <c r="W33" i="49"/>
  <c r="X33" i="49" s="1"/>
  <c r="V33" i="49"/>
  <c r="K33" i="49"/>
  <c r="W32" i="49"/>
  <c r="X32" i="49" s="1"/>
  <c r="V32" i="49"/>
  <c r="K32" i="49"/>
  <c r="W31" i="49"/>
  <c r="X31" i="49" s="1"/>
  <c r="V31" i="49"/>
  <c r="K31" i="49"/>
  <c r="W30" i="49"/>
  <c r="X30" i="49" s="1"/>
  <c r="V30" i="49"/>
  <c r="K30" i="49"/>
  <c r="W29" i="49"/>
  <c r="X29" i="49" s="1"/>
  <c r="V29" i="49"/>
  <c r="K29" i="49"/>
  <c r="W28" i="49"/>
  <c r="X28" i="49" s="1"/>
  <c r="V28" i="49"/>
  <c r="K28" i="49"/>
  <c r="W27" i="49"/>
  <c r="X27" i="49" s="1"/>
  <c r="V27" i="49"/>
  <c r="K27" i="49"/>
  <c r="W26" i="49"/>
  <c r="X26" i="49" s="1"/>
  <c r="V26" i="49"/>
  <c r="K26" i="49"/>
  <c r="W25" i="49"/>
  <c r="X25" i="49" s="1"/>
  <c r="V25" i="49"/>
  <c r="K25" i="49"/>
  <c r="W24" i="49"/>
  <c r="X24" i="49" s="1"/>
  <c r="V24" i="49"/>
  <c r="K24" i="49"/>
  <c r="W23" i="49"/>
  <c r="X23" i="49" s="1"/>
  <c r="V23" i="49"/>
  <c r="K23" i="49"/>
  <c r="W22" i="49"/>
  <c r="X22" i="49" s="1"/>
  <c r="V22" i="49"/>
  <c r="K22" i="49"/>
  <c r="K34" i="49" s="1"/>
  <c r="K35" i="49" s="1"/>
  <c r="B22" i="49"/>
  <c r="B38" i="49" s="1"/>
  <c r="B54" i="49" s="1"/>
  <c r="AF19" i="49"/>
  <c r="AF18" i="49"/>
  <c r="AE18" i="49"/>
  <c r="AC18" i="49"/>
  <c r="AB18" i="49"/>
  <c r="AB19" i="49" s="1"/>
  <c r="AA18" i="49"/>
  <c r="Z18" i="49"/>
  <c r="S18" i="49"/>
  <c r="S19" i="49" s="1"/>
  <c r="R18" i="49"/>
  <c r="Q18" i="49"/>
  <c r="Q19" i="49" s="1"/>
  <c r="P18" i="49"/>
  <c r="N18" i="49"/>
  <c r="N19" i="49" s="1"/>
  <c r="M18" i="49"/>
  <c r="L18" i="49"/>
  <c r="J18" i="49"/>
  <c r="I18" i="49"/>
  <c r="I19" i="49" s="1"/>
  <c r="H18" i="49"/>
  <c r="H19" i="49" s="1"/>
  <c r="G18" i="49"/>
  <c r="X17" i="49"/>
  <c r="W17" i="49"/>
  <c r="V17" i="49"/>
  <c r="K17" i="49"/>
  <c r="X16" i="49"/>
  <c r="W16" i="49"/>
  <c r="V16" i="49"/>
  <c r="K16" i="49"/>
  <c r="X15" i="49"/>
  <c r="W15" i="49"/>
  <c r="V15" i="49"/>
  <c r="K15" i="49"/>
  <c r="X14" i="49"/>
  <c r="W14" i="49"/>
  <c r="V14" i="49"/>
  <c r="K14" i="49"/>
  <c r="X13" i="49"/>
  <c r="W13" i="49"/>
  <c r="V13" i="49"/>
  <c r="K13" i="49"/>
  <c r="X12" i="49"/>
  <c r="W12" i="49"/>
  <c r="V12" i="49"/>
  <c r="K12" i="49"/>
  <c r="X11" i="49"/>
  <c r="W11" i="49"/>
  <c r="V11" i="49"/>
  <c r="K11" i="49"/>
  <c r="X10" i="49"/>
  <c r="W10" i="49"/>
  <c r="V10" i="49"/>
  <c r="K10" i="49"/>
  <c r="X9" i="49"/>
  <c r="W9" i="49"/>
  <c r="V9" i="49"/>
  <c r="K9" i="49"/>
  <c r="X8" i="49"/>
  <c r="W8" i="49"/>
  <c r="V8" i="49"/>
  <c r="K8" i="49"/>
  <c r="V7" i="49"/>
  <c r="U7" i="49"/>
  <c r="W7" i="49" s="1"/>
  <c r="X7" i="49" s="1"/>
  <c r="K7" i="49"/>
  <c r="W6" i="49"/>
  <c r="X6" i="49" s="1"/>
  <c r="V6" i="49"/>
  <c r="K6" i="49"/>
  <c r="K18" i="49" s="1"/>
  <c r="K19" i="49" s="1"/>
  <c r="B3" i="49"/>
  <c r="H67" i="48"/>
  <c r="AG66" i="48"/>
  <c r="AG67" i="48" s="1"/>
  <c r="AF66" i="48"/>
  <c r="AE66" i="48"/>
  <c r="AC66" i="48"/>
  <c r="AC67" i="48" s="1"/>
  <c r="AB66" i="48"/>
  <c r="V66" i="48"/>
  <c r="T66" i="48"/>
  <c r="T67" i="48" s="1"/>
  <c r="R66" i="48"/>
  <c r="Q66" i="48"/>
  <c r="Q67" i="48" s="1"/>
  <c r="P66" i="48"/>
  <c r="N66" i="48"/>
  <c r="N67" i="48" s="1"/>
  <c r="M66" i="48"/>
  <c r="L66" i="48"/>
  <c r="K66" i="48"/>
  <c r="K67" i="48" s="1"/>
  <c r="J66" i="48"/>
  <c r="I66" i="48"/>
  <c r="H66" i="48"/>
  <c r="G66" i="48"/>
  <c r="Y56" i="48"/>
  <c r="W56" i="48"/>
  <c r="W55" i="48"/>
  <c r="Y55" i="48" s="1"/>
  <c r="Y54" i="48"/>
  <c r="Y66" i="48" s="1"/>
  <c r="Y67" i="48" s="1"/>
  <c r="W54" i="48"/>
  <c r="AC51" i="48"/>
  <c r="Q51" i="48"/>
  <c r="AG50" i="48"/>
  <c r="AG51" i="48" s="1"/>
  <c r="AF50" i="48"/>
  <c r="AD50" i="48"/>
  <c r="AC50" i="48"/>
  <c r="AB50" i="48"/>
  <c r="AA50" i="48"/>
  <c r="V50" i="48"/>
  <c r="T50" i="48"/>
  <c r="T51" i="48" s="1"/>
  <c r="R50" i="48"/>
  <c r="Q50" i="48"/>
  <c r="P50" i="48"/>
  <c r="N50" i="48"/>
  <c r="N51" i="48" s="1"/>
  <c r="M50" i="48"/>
  <c r="L50" i="48"/>
  <c r="K50" i="48"/>
  <c r="K51" i="48" s="1"/>
  <c r="J50" i="48"/>
  <c r="I50" i="48"/>
  <c r="H50" i="48"/>
  <c r="H51" i="48" s="1"/>
  <c r="G50" i="48"/>
  <c r="Y47" i="48"/>
  <c r="W47" i="48"/>
  <c r="W43" i="48"/>
  <c r="Y43" i="48" s="1"/>
  <c r="Y40" i="48"/>
  <c r="W40" i="48"/>
  <c r="W38" i="48"/>
  <c r="Y38" i="48" s="1"/>
  <c r="Q35" i="48"/>
  <c r="H35" i="48"/>
  <c r="AG34" i="48"/>
  <c r="AG35" i="48" s="1"/>
  <c r="AF34" i="48"/>
  <c r="AD34" i="48"/>
  <c r="AC34" i="48"/>
  <c r="AC35" i="48" s="1"/>
  <c r="AB34" i="48"/>
  <c r="AA34" i="48"/>
  <c r="V34" i="48"/>
  <c r="T34" i="48"/>
  <c r="T35" i="48" s="1"/>
  <c r="R34" i="48"/>
  <c r="Q34" i="48"/>
  <c r="P34" i="48"/>
  <c r="N34" i="48"/>
  <c r="N35" i="48" s="1"/>
  <c r="M34" i="48"/>
  <c r="L34" i="48"/>
  <c r="K34" i="48"/>
  <c r="K35" i="48" s="1"/>
  <c r="J34" i="48"/>
  <c r="I34" i="48"/>
  <c r="H34" i="48"/>
  <c r="G34" i="48"/>
  <c r="Y30" i="48"/>
  <c r="W30" i="48"/>
  <c r="W27" i="48"/>
  <c r="Y27" i="48" s="1"/>
  <c r="Y24" i="48"/>
  <c r="W24" i="48"/>
  <c r="W22" i="48"/>
  <c r="Y22" i="48" s="1"/>
  <c r="B22" i="48"/>
  <c r="B38" i="48" s="1"/>
  <c r="B54" i="48" s="1"/>
  <c r="T19" i="48"/>
  <c r="AG18" i="48"/>
  <c r="AG19" i="48" s="1"/>
  <c r="AF18" i="48"/>
  <c r="AD18" i="48"/>
  <c r="AC18" i="48"/>
  <c r="AC19" i="48" s="1"/>
  <c r="AB18" i="48"/>
  <c r="AA18" i="48"/>
  <c r="V18" i="48"/>
  <c r="T18" i="48"/>
  <c r="R18" i="48"/>
  <c r="Q18" i="48"/>
  <c r="Q19" i="48" s="1"/>
  <c r="P18" i="48"/>
  <c r="N18" i="48"/>
  <c r="N19" i="48" s="1"/>
  <c r="M18" i="48"/>
  <c r="L18" i="48"/>
  <c r="K18" i="48"/>
  <c r="K19" i="48" s="1"/>
  <c r="J18" i="48"/>
  <c r="I18" i="48"/>
  <c r="H18" i="48"/>
  <c r="H19" i="48" s="1"/>
  <c r="G18" i="48"/>
  <c r="Y14" i="48"/>
  <c r="Y11" i="48"/>
  <c r="Y8" i="48"/>
  <c r="Y6" i="48"/>
  <c r="Y18" i="48" s="1"/>
  <c r="Y19" i="48" s="1"/>
  <c r="B3" i="48"/>
  <c r="AB25" i="51" l="1"/>
  <c r="AB47" i="51"/>
  <c r="K10" i="17"/>
  <c r="AB15" i="51"/>
  <c r="AB38" i="51"/>
  <c r="AB44" i="51"/>
  <c r="H10" i="17"/>
  <c r="P51" i="51"/>
  <c r="L10" i="17"/>
  <c r="AB6" i="51"/>
  <c r="AB9" i="51"/>
  <c r="J14" i="51"/>
  <c r="AB22" i="51"/>
  <c r="AB12" i="51"/>
  <c r="P34" i="51"/>
  <c r="P35" i="51" s="1"/>
  <c r="G10" i="17"/>
  <c r="L8" i="17"/>
  <c r="AA8" i="17" s="1"/>
  <c r="AA11" i="17"/>
  <c r="AA9" i="17"/>
  <c r="Y50" i="48"/>
  <c r="Y51" i="48" s="1"/>
  <c r="Y34" i="48"/>
  <c r="Y35" i="48" s="1"/>
  <c r="AD34" i="50"/>
  <c r="AD35" i="50" s="1"/>
  <c r="X18" i="49"/>
  <c r="X19" i="49" s="1"/>
  <c r="U18" i="49"/>
  <c r="X34" i="49"/>
  <c r="X35" i="49" s="1"/>
  <c r="X50" i="49"/>
  <c r="X51" i="49" s="1"/>
  <c r="X66" i="49"/>
  <c r="X67" i="49" s="1"/>
  <c r="J18" i="51"/>
  <c r="J19" i="51" s="1"/>
  <c r="J34" i="51"/>
  <c r="J35" i="51" s="1"/>
  <c r="AB41" i="51"/>
  <c r="AB50" i="51" s="1"/>
  <c r="Y11" i="52"/>
  <c r="Y18" i="52" s="1"/>
  <c r="Y19" i="52" s="1"/>
  <c r="Y38" i="52"/>
  <c r="Y50" i="52" s="1"/>
  <c r="Y51" i="52" s="1"/>
  <c r="Y40" i="52"/>
  <c r="Y47" i="52"/>
  <c r="Y15" i="52"/>
  <c r="AB31" i="51"/>
  <c r="Y43" i="52"/>
  <c r="U17" i="50"/>
  <c r="U18" i="50" s="1"/>
  <c r="U19" i="50" s="1"/>
  <c r="U22" i="50"/>
  <c r="U34" i="50" s="1"/>
  <c r="U35" i="50" s="1"/>
  <c r="U33" i="50"/>
  <c r="V18" i="52"/>
  <c r="V50" i="52"/>
  <c r="W11" i="52"/>
  <c r="W15" i="52"/>
  <c r="W38" i="52"/>
  <c r="V34" i="52"/>
  <c r="AB51" i="51" l="1"/>
  <c r="U10" i="17"/>
  <c r="V10" i="17" s="1"/>
  <c r="AB34" i="51"/>
  <c r="AB35" i="51" s="1"/>
  <c r="AB18" i="51"/>
  <c r="AB19" i="51" s="1"/>
  <c r="I25" i="17"/>
  <c r="AA10" i="17"/>
  <c r="I10" i="17"/>
  <c r="AA12" i="17"/>
  <c r="F9" i="47"/>
  <c r="F10" i="47"/>
  <c r="F11" i="47"/>
  <c r="F12" i="47"/>
  <c r="F13" i="47"/>
  <c r="F14" i="47"/>
  <c r="G14" i="47" s="1"/>
  <c r="F15" i="47"/>
  <c r="G15" i="47" s="1"/>
  <c r="F16" i="47"/>
  <c r="G16" i="47" s="1"/>
  <c r="F17" i="47"/>
  <c r="F18" i="47"/>
  <c r="F19" i="47"/>
  <c r="F20" i="47"/>
  <c r="E22" i="47"/>
  <c r="D22" i="47" s="1"/>
  <c r="U20" i="17"/>
  <c r="Q20" i="17"/>
  <c r="L20" i="17"/>
  <c r="I20" i="17"/>
  <c r="C22" i="17"/>
  <c r="C23" i="17"/>
  <c r="C24" i="17"/>
  <c r="C25" i="17"/>
  <c r="C26" i="17"/>
  <c r="B26" i="17"/>
  <c r="B25" i="17"/>
  <c r="B24" i="17"/>
  <c r="B23" i="17"/>
  <c r="B22" i="17"/>
  <c r="H31" i="21"/>
  <c r="H25" i="21"/>
  <c r="M39" i="20"/>
  <c r="M42" i="20" s="1"/>
  <c r="N39" i="20"/>
  <c r="N42" i="20" s="1"/>
  <c r="R17" i="20"/>
  <c r="W12" i="17"/>
  <c r="O13" i="17"/>
  <c r="K13" i="17"/>
  <c r="G13" i="17"/>
  <c r="S12" i="17"/>
  <c r="N12" i="17"/>
  <c r="J12" i="17"/>
  <c r="G3" i="20"/>
  <c r="H3" i="20" s="1"/>
  <c r="I3" i="20" s="1"/>
  <c r="J3" i="20" s="1"/>
  <c r="K3" i="20" s="1"/>
  <c r="L3" i="20" s="1"/>
  <c r="M3" i="20" s="1"/>
  <c r="N3" i="20" s="1"/>
  <c r="O3" i="20" s="1"/>
  <c r="P3" i="20" s="1"/>
  <c r="Q3" i="20" s="1"/>
  <c r="M52" i="19"/>
  <c r="M50" i="19"/>
  <c r="M51" i="19"/>
  <c r="D50" i="19"/>
  <c r="D51" i="19"/>
  <c r="D28" i="19"/>
  <c r="D40" i="19" s="1"/>
  <c r="C28" i="19"/>
  <c r="C40" i="19" s="1"/>
  <c r="C51" i="19" s="1"/>
  <c r="C12" i="19"/>
  <c r="C27" i="19" s="1"/>
  <c r="C39" i="19" s="1"/>
  <c r="C50" i="19" s="1"/>
  <c r="C11" i="19"/>
  <c r="C26" i="19" s="1"/>
  <c r="C38" i="19" s="1"/>
  <c r="C49" i="19" s="1"/>
  <c r="C10" i="19"/>
  <c r="C25" i="19" s="1"/>
  <c r="C37" i="19" s="1"/>
  <c r="C48" i="19" s="1"/>
  <c r="C9" i="19"/>
  <c r="C24" i="19" s="1"/>
  <c r="C36" i="19" s="1"/>
  <c r="C47" i="19" s="1"/>
  <c r="H11" i="21"/>
  <c r="Q39" i="20"/>
  <c r="Q42" i="20" s="1"/>
  <c r="P39" i="20"/>
  <c r="P42" i="20" s="1"/>
  <c r="O39" i="20"/>
  <c r="O42" i="20" s="1"/>
  <c r="L39" i="20"/>
  <c r="L42" i="20" s="1"/>
  <c r="K39" i="20"/>
  <c r="K42" i="20" s="1"/>
  <c r="J39" i="20"/>
  <c r="J42" i="20"/>
  <c r="I39" i="20"/>
  <c r="I42" i="20" s="1"/>
  <c r="H39" i="20"/>
  <c r="H42" i="20" s="1"/>
  <c r="G39" i="20"/>
  <c r="G42" i="20" s="1"/>
  <c r="F39" i="20"/>
  <c r="F42" i="20"/>
  <c r="E39" i="20"/>
  <c r="E42" i="20" s="1"/>
  <c r="R38" i="20"/>
  <c r="I23" i="21" s="1"/>
  <c r="R37" i="20"/>
  <c r="I22" i="21" s="1"/>
  <c r="R36" i="20"/>
  <c r="I17" i="21" s="1"/>
  <c r="R32" i="20"/>
  <c r="K10" i="22" s="1"/>
  <c r="R25" i="20"/>
  <c r="C17" i="20"/>
  <c r="C18" i="20" s="1"/>
  <c r="C19" i="20" s="1"/>
  <c r="C20" i="20" s="1"/>
  <c r="C21" i="20" s="1"/>
  <c r="C22" i="20" s="1"/>
  <c r="C23" i="20" s="1"/>
  <c r="C24" i="20" s="1"/>
  <c r="C25" i="20" s="1"/>
  <c r="C36" i="20" s="1"/>
  <c r="C37" i="20" s="1"/>
  <c r="J52" i="19"/>
  <c r="I52" i="19"/>
  <c r="H52" i="19"/>
  <c r="G52" i="19"/>
  <c r="F52" i="19"/>
  <c r="M49" i="19"/>
  <c r="D49" i="19"/>
  <c r="M48" i="19"/>
  <c r="D48" i="19"/>
  <c r="M47" i="19"/>
  <c r="D47" i="19"/>
  <c r="I41" i="19"/>
  <c r="H41" i="19"/>
  <c r="G41" i="19"/>
  <c r="F41" i="19"/>
  <c r="D27" i="19"/>
  <c r="D39" i="19" s="1"/>
  <c r="D26" i="19"/>
  <c r="D38" i="19" s="1"/>
  <c r="D25" i="19"/>
  <c r="D37" i="19" s="1"/>
  <c r="D24" i="19"/>
  <c r="D36" i="19" s="1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Y18" i="19"/>
  <c r="X18" i="19"/>
  <c r="W18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G18" i="19"/>
  <c r="F18" i="19"/>
  <c r="D13" i="19"/>
  <c r="D12" i="19"/>
  <c r="D11" i="19"/>
  <c r="D10" i="19"/>
  <c r="D9" i="19"/>
  <c r="X12" i="17"/>
  <c r="R19" i="20"/>
  <c r="R20" i="20"/>
  <c r="R23" i="20"/>
  <c r="R18" i="20"/>
  <c r="R24" i="20"/>
  <c r="M26" i="20"/>
  <c r="R22" i="20"/>
  <c r="I26" i="20"/>
  <c r="J26" i="20"/>
  <c r="L26" i="20"/>
  <c r="K26" i="20"/>
  <c r="F26" i="20"/>
  <c r="H26" i="20"/>
  <c r="G26" i="20"/>
  <c r="N26" i="20"/>
  <c r="O26" i="20"/>
  <c r="Q26" i="20"/>
  <c r="P26" i="20"/>
  <c r="R21" i="20"/>
  <c r="Y12" i="17" l="1"/>
  <c r="D14" i="19"/>
  <c r="R33" i="20" s="1"/>
  <c r="L47" i="19"/>
  <c r="L49" i="19"/>
  <c r="D52" i="19"/>
  <c r="M10" i="17"/>
  <c r="D29" i="19"/>
  <c r="D41" i="19"/>
  <c r="L50" i="19"/>
  <c r="R39" i="20"/>
  <c r="L51" i="19"/>
  <c r="I24" i="21"/>
  <c r="R26" i="20"/>
  <c r="R9" i="17"/>
  <c r="P12" i="17"/>
  <c r="I12" i="17"/>
  <c r="O12" i="17"/>
  <c r="H12" i="17"/>
  <c r="V12" i="17"/>
  <c r="R46" i="20"/>
  <c r="T12" i="17"/>
  <c r="U12" i="17"/>
  <c r="I25" i="21"/>
  <c r="I26" i="21" s="1"/>
  <c r="R42" i="20"/>
  <c r="K4" i="22" s="1"/>
  <c r="R10" i="17"/>
  <c r="G12" i="17"/>
  <c r="M11" i="17"/>
  <c r="I10" i="21"/>
  <c r="L48" i="19"/>
  <c r="M9" i="17"/>
  <c r="K12" i="17"/>
  <c r="F22" i="47"/>
  <c r="G12" i="47" s="1"/>
  <c r="R8" i="17" l="1"/>
  <c r="Q12" i="17"/>
  <c r="M8" i="17"/>
  <c r="M12" i="17" s="1"/>
  <c r="L12" i="17"/>
  <c r="U25" i="17"/>
  <c r="L25" i="17"/>
  <c r="U22" i="17"/>
  <c r="U26" i="17"/>
  <c r="G20" i="47"/>
  <c r="L22" i="17"/>
  <c r="L52" i="19"/>
  <c r="U24" i="17"/>
  <c r="I23" i="17"/>
  <c r="L23" i="17"/>
  <c r="M13" i="20"/>
  <c r="P13" i="20"/>
  <c r="J13" i="20"/>
  <c r="Q13" i="20"/>
  <c r="E13" i="20"/>
  <c r="E25" i="20" s="1"/>
  <c r="O13" i="20"/>
  <c r="F13" i="20"/>
  <c r="K13" i="20"/>
  <c r="L13" i="20"/>
  <c r="G13" i="20"/>
  <c r="I13" i="20"/>
  <c r="N13" i="20"/>
  <c r="H13" i="20"/>
  <c r="L24" i="17"/>
  <c r="G9" i="47"/>
  <c r="G13" i="47"/>
  <c r="G17" i="47"/>
  <c r="G10" i="47"/>
  <c r="G18" i="47"/>
  <c r="G19" i="47"/>
  <c r="G11" i="47"/>
  <c r="I11" i="21"/>
  <c r="I31" i="21" s="1"/>
  <c r="I30" i="21"/>
  <c r="R12" i="17" l="1"/>
  <c r="Q26" i="17"/>
  <c r="R11" i="17"/>
  <c r="G22" i="47"/>
  <c r="E12" i="20"/>
  <c r="E24" i="20" s="1"/>
  <c r="Q5" i="20"/>
  <c r="F6" i="20"/>
  <c r="O8" i="20"/>
  <c r="R13" i="20"/>
  <c r="S25" i="20" s="1"/>
  <c r="L15" i="17"/>
  <c r="I32" i="21"/>
  <c r="N6" i="20"/>
  <c r="I12" i="21"/>
  <c r="L11" i="20"/>
  <c r="J11" i="20"/>
  <c r="Q11" i="20"/>
  <c r="O11" i="20"/>
  <c r="M11" i="20"/>
  <c r="H11" i="20"/>
  <c r="I11" i="20"/>
  <c r="N11" i="20"/>
  <c r="E11" i="20"/>
  <c r="E23" i="20" s="1"/>
  <c r="P11" i="20"/>
  <c r="G11" i="20"/>
  <c r="K11" i="20"/>
  <c r="F11" i="20"/>
  <c r="H15" i="17" l="1"/>
  <c r="P12" i="20"/>
  <c r="J12" i="20"/>
  <c r="K12" i="20"/>
  <c r="G12" i="20"/>
  <c r="Q12" i="20"/>
  <c r="F12" i="20"/>
  <c r="L12" i="20"/>
  <c r="H12" i="20"/>
  <c r="O12" i="20"/>
  <c r="M12" i="20"/>
  <c r="I12" i="20"/>
  <c r="N12" i="20"/>
  <c r="N5" i="20"/>
  <c r="P5" i="20"/>
  <c r="L5" i="20"/>
  <c r="M5" i="20"/>
  <c r="J6" i="20"/>
  <c r="K8" i="20"/>
  <c r="G5" i="20"/>
  <c r="O5" i="20"/>
  <c r="E6" i="20"/>
  <c r="E18" i="20" s="1"/>
  <c r="I5" i="20"/>
  <c r="P8" i="20"/>
  <c r="F5" i="20"/>
  <c r="E5" i="20"/>
  <c r="E17" i="20" s="1"/>
  <c r="P6" i="20"/>
  <c r="H6" i="20"/>
  <c r="J5" i="20"/>
  <c r="H5" i="20"/>
  <c r="K5" i="20"/>
  <c r="O6" i="20"/>
  <c r="L6" i="20"/>
  <c r="M8" i="20"/>
  <c r="G6" i="20"/>
  <c r="Q6" i="20"/>
  <c r="I6" i="20"/>
  <c r="E8" i="20"/>
  <c r="E20" i="20" s="1"/>
  <c r="K6" i="20"/>
  <c r="M6" i="20"/>
  <c r="H8" i="20"/>
  <c r="G8" i="20"/>
  <c r="N8" i="20"/>
  <c r="Q8" i="20"/>
  <c r="I8" i="20"/>
  <c r="J8" i="20"/>
  <c r="L8" i="20"/>
  <c r="F8" i="20"/>
  <c r="R11" i="20"/>
  <c r="S23" i="20" s="1"/>
  <c r="U23" i="20" s="1"/>
  <c r="F7" i="20"/>
  <c r="O7" i="20"/>
  <c r="L7" i="20"/>
  <c r="Q7" i="20"/>
  <c r="N7" i="20"/>
  <c r="J7" i="20"/>
  <c r="E7" i="20"/>
  <c r="E19" i="20" s="1"/>
  <c r="G7" i="20"/>
  <c r="M7" i="20"/>
  <c r="P7" i="20"/>
  <c r="K7" i="20"/>
  <c r="I7" i="20"/>
  <c r="H7" i="20"/>
  <c r="N10" i="20"/>
  <c r="O10" i="20"/>
  <c r="J10" i="20"/>
  <c r="L10" i="20"/>
  <c r="F10" i="20"/>
  <c r="E10" i="20"/>
  <c r="Q10" i="20"/>
  <c r="M10" i="20"/>
  <c r="H10" i="20"/>
  <c r="I10" i="20"/>
  <c r="K10" i="20"/>
  <c r="G10" i="20"/>
  <c r="P10" i="20"/>
  <c r="R12" i="20" l="1"/>
  <c r="S24" i="20" s="1"/>
  <c r="U24" i="20" s="1"/>
  <c r="R5" i="20"/>
  <c r="S17" i="20" s="1"/>
  <c r="U17" i="20" s="1"/>
  <c r="R6" i="20"/>
  <c r="S18" i="20" s="1"/>
  <c r="U18" i="20" s="1"/>
  <c r="R8" i="20"/>
  <c r="S20" i="20" s="1"/>
  <c r="U20" i="20" s="1"/>
  <c r="R7" i="20"/>
  <c r="S19" i="20" s="1"/>
  <c r="U19" i="20" s="1"/>
  <c r="R10" i="20"/>
  <c r="S22" i="20" s="1"/>
  <c r="U22" i="20" s="1"/>
  <c r="E22" i="20"/>
  <c r="H9" i="20" l="1"/>
  <c r="H14" i="20" s="1"/>
  <c r="H29" i="20" s="1"/>
  <c r="H47" i="20" s="1"/>
  <c r="G9" i="20"/>
  <c r="G14" i="20" s="1"/>
  <c r="G29" i="20" s="1"/>
  <c r="G47" i="20" s="1"/>
  <c r="L9" i="20"/>
  <c r="L14" i="20" s="1"/>
  <c r="L29" i="20" s="1"/>
  <c r="L47" i="20" s="1"/>
  <c r="N9" i="20"/>
  <c r="N14" i="20" s="1"/>
  <c r="N29" i="20" s="1"/>
  <c r="N47" i="20" s="1"/>
  <c r="Q9" i="20"/>
  <c r="Q14" i="20" s="1"/>
  <c r="Q29" i="20" s="1"/>
  <c r="Q47" i="20" s="1"/>
  <c r="O9" i="20"/>
  <c r="O14" i="20" s="1"/>
  <c r="O29" i="20" s="1"/>
  <c r="O47" i="20" s="1"/>
  <c r="P9" i="20"/>
  <c r="P14" i="20" s="1"/>
  <c r="P29" i="20" s="1"/>
  <c r="P47" i="20" s="1"/>
  <c r="D14" i="20"/>
  <c r="M9" i="20"/>
  <c r="M14" i="20" s="1"/>
  <c r="M29" i="20" s="1"/>
  <c r="M47" i="20" s="1"/>
  <c r="E9" i="20"/>
  <c r="J9" i="20"/>
  <c r="J14" i="20" s="1"/>
  <c r="J29" i="20" s="1"/>
  <c r="J47" i="20" s="1"/>
  <c r="F9" i="20"/>
  <c r="I9" i="20"/>
  <c r="I14" i="20" s="1"/>
  <c r="I29" i="20" s="1"/>
  <c r="I47" i="20" s="1"/>
  <c r="K9" i="20"/>
  <c r="K14" i="20" s="1"/>
  <c r="K29" i="20" s="1"/>
  <c r="K47" i="20" s="1"/>
  <c r="F14" i="20" l="1"/>
  <c r="R9" i="20"/>
  <c r="S21" i="20" s="1"/>
  <c r="U21" i="20" s="1"/>
  <c r="E21" i="20"/>
  <c r="E26" i="20" s="1"/>
  <c r="E14" i="20"/>
  <c r="E29" i="20" l="1"/>
  <c r="R14" i="20"/>
  <c r="S26" i="20" s="1"/>
  <c r="U26" i="20" s="1"/>
  <c r="F29" i="20"/>
  <c r="R29" i="20" l="1"/>
  <c r="F47" i="20"/>
  <c r="E50" i="20" l="1"/>
  <c r="R47" i="20"/>
  <c r="K13" i="22" s="1"/>
  <c r="K7" i="22"/>
</calcChain>
</file>

<file path=xl/comments1.xml><?xml version="1.0" encoding="utf-8"?>
<comments xmlns="http://schemas.openxmlformats.org/spreadsheetml/2006/main">
  <authors>
    <author>Jitka Mazurková</author>
  </authors>
  <commentList>
    <comment ref="J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 * objemový koeficient = MJ</t>
        </r>
      </text>
    </comment>
    <comment ref="Q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B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C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F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  <charset val="238"/>
          </rPr>
          <t>01/2015</t>
        </r>
      </text>
    </comment>
    <comment ref="P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1.1.2015-20.4.2015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1.1.2015-20.4.2015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01-02/2015
</t>
        </r>
      </text>
    </comment>
    <comment ref="W6" authorId="0" shapeId="0">
      <text>
        <r>
          <rPr>
            <b/>
            <sz val="9"/>
            <color indexed="81"/>
            <rFont val="Tahoma"/>
            <family val="2"/>
            <charset val="238"/>
          </rPr>
          <t>údaje z podkladů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  <charset val="238"/>
          </rPr>
          <t>1.1.-28.1.2015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1.1.2015-4.3.2015</t>
        </r>
      </text>
    </comment>
    <comment ref="AA7" authorId="0" shapeId="0">
      <text>
        <r>
          <rPr>
            <b/>
            <sz val="9"/>
            <color indexed="81"/>
            <rFont val="Tahoma"/>
            <family val="2"/>
            <charset val="238"/>
          </rPr>
          <t>29.1.2015-15.10.2015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  <charset val="238"/>
          </rPr>
          <t>03-05/2015</t>
        </r>
      </text>
    </comment>
    <comment ref="W8" authorId="0" shapeId="0">
      <text>
        <r>
          <rPr>
            <b/>
            <sz val="9"/>
            <color indexed="81"/>
            <rFont val="Tahoma"/>
            <family val="2"/>
            <charset val="238"/>
          </rPr>
          <t>údaje z podkladů</t>
        </r>
      </text>
    </comment>
    <comment ref="AD9" authorId="0" shapeId="0">
      <text>
        <r>
          <rPr>
            <b/>
            <sz val="9"/>
            <color indexed="81"/>
            <rFont val="Tahoma"/>
            <family val="2"/>
            <charset val="238"/>
          </rPr>
          <t>5.3.2015-31.12.2015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38"/>
          </rPr>
          <t>21.4.2015-31.12.2015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  <charset val="238"/>
          </rPr>
          <t>21.4.2015-31.12.2015</t>
        </r>
      </text>
    </comment>
    <comment ref="V11" authorId="0" shapeId="0">
      <text>
        <r>
          <rPr>
            <b/>
            <sz val="9"/>
            <color indexed="81"/>
            <rFont val="Tahoma"/>
            <family val="2"/>
            <charset val="238"/>
          </rPr>
          <t>1.6.2015-15.9.2015</t>
        </r>
      </text>
    </comment>
    <comment ref="W11" authorId="0" shapeId="0">
      <text>
        <r>
          <rPr>
            <b/>
            <sz val="9"/>
            <color indexed="81"/>
            <rFont val="Tahoma"/>
            <family val="2"/>
            <charset val="238"/>
          </rPr>
          <t>údaj z podkladů</t>
        </r>
      </text>
    </comment>
    <comment ref="V14" authorId="0" shapeId="0">
      <text>
        <r>
          <rPr>
            <b/>
            <sz val="9"/>
            <color indexed="81"/>
            <rFont val="Tahoma"/>
            <family val="2"/>
            <charset val="238"/>
          </rPr>
          <t>16.9.2015-31.12.2015</t>
        </r>
      </text>
    </comment>
    <comment ref="W14" authorId="0" shapeId="0">
      <text>
        <r>
          <rPr>
            <b/>
            <sz val="9"/>
            <color indexed="81"/>
            <rFont val="Tahoma"/>
            <family val="2"/>
            <charset val="238"/>
          </rPr>
          <t>údaj z podkladů</t>
        </r>
      </text>
    </comment>
    <comment ref="AA15" authorId="0" shapeId="0">
      <text>
        <r>
          <rPr>
            <b/>
            <sz val="9"/>
            <color indexed="81"/>
            <rFont val="Tahoma"/>
            <family val="2"/>
            <charset val="238"/>
          </rPr>
          <t>16.10.2015-31.12.2015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  <charset val="238"/>
          </rPr>
          <t>12/2015</t>
        </r>
      </text>
    </comment>
    <comment ref="P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1.1.2016-16.5.2015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1.1.2016-16.5.2016</t>
        </r>
      </text>
    </comment>
    <comment ref="V22" authorId="0" shapeId="0">
      <text>
        <r>
          <rPr>
            <b/>
            <sz val="9"/>
            <color indexed="81"/>
            <rFont val="Tahoma"/>
            <family val="2"/>
            <charset val="238"/>
          </rPr>
          <t>01-02/2016</t>
        </r>
      </text>
    </comment>
    <comment ref="AA22" authorId="0" shapeId="0">
      <text>
        <r>
          <rPr>
            <b/>
            <sz val="9"/>
            <color indexed="81"/>
            <rFont val="Tahoma"/>
            <family val="2"/>
            <charset val="238"/>
          </rPr>
          <t>1.1.-2.2.2016</t>
        </r>
      </text>
    </comment>
    <comment ref="AD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1.1.2016-3.3.2016</t>
        </r>
      </text>
    </comment>
    <comment ref="AA23" authorId="0" shapeId="0">
      <text>
        <r>
          <rPr>
            <b/>
            <sz val="9"/>
            <color indexed="81"/>
            <rFont val="Tahoma"/>
            <family val="2"/>
            <charset val="238"/>
          </rPr>
          <t>3.2.2016-31.12.2016</t>
        </r>
      </text>
    </comment>
    <comment ref="V24" authorId="0" shapeId="0">
      <text>
        <r>
          <rPr>
            <b/>
            <sz val="9"/>
            <color indexed="81"/>
            <rFont val="Tahoma"/>
            <family val="2"/>
            <charset val="238"/>
          </rPr>
          <t>03-05/2016</t>
        </r>
      </text>
    </comment>
    <comment ref="AD25" authorId="0" shapeId="0">
      <text>
        <r>
          <rPr>
            <b/>
            <sz val="9"/>
            <color indexed="81"/>
            <rFont val="Tahoma"/>
            <family val="2"/>
            <charset val="238"/>
          </rPr>
          <t>4.3.2016-31.12.2016</t>
        </r>
      </text>
    </comment>
    <comment ref="P26" authorId="0" shapeId="0">
      <text>
        <r>
          <rPr>
            <b/>
            <sz val="9"/>
            <color indexed="81"/>
            <rFont val="Tahoma"/>
            <family val="2"/>
            <charset val="238"/>
          </rPr>
          <t>17.5.2016-31.12.2016</t>
        </r>
      </text>
    </comment>
    <comment ref="R26" authorId="0" shapeId="0">
      <text>
        <r>
          <rPr>
            <b/>
            <sz val="9"/>
            <color indexed="81"/>
            <rFont val="Tahoma"/>
            <family val="2"/>
            <charset val="238"/>
          </rPr>
          <t>17.5.-31.12.2016</t>
        </r>
      </text>
    </comment>
    <comment ref="V27" authorId="0" shapeId="0">
      <text>
        <r>
          <rPr>
            <b/>
            <sz val="9"/>
            <color indexed="81"/>
            <rFont val="Tahoma"/>
            <family val="2"/>
            <charset val="238"/>
          </rPr>
          <t>1.6.2016-15.9.2016</t>
        </r>
      </text>
    </comment>
    <comment ref="V30" authorId="0" shapeId="0">
      <text>
        <r>
          <rPr>
            <b/>
            <sz val="9"/>
            <color indexed="81"/>
            <rFont val="Tahoma"/>
            <family val="2"/>
            <charset val="238"/>
          </rPr>
          <t>16.9.2016-31.12.2016</t>
        </r>
      </text>
    </comment>
    <comment ref="P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1.1.2017-9.5.2017</t>
        </r>
      </text>
    </comment>
    <comment ref="R38" authorId="0" shapeId="0">
      <text>
        <r>
          <rPr>
            <b/>
            <sz val="9"/>
            <color indexed="81"/>
            <rFont val="Tahoma"/>
            <family val="2"/>
            <charset val="238"/>
          </rPr>
          <t>1.1.-8.5.2017</t>
        </r>
      </text>
    </comment>
    <comment ref="V38" authorId="0" shapeId="0">
      <text>
        <r>
          <rPr>
            <b/>
            <sz val="9"/>
            <color indexed="81"/>
            <rFont val="Tahoma"/>
            <family val="2"/>
            <charset val="238"/>
          </rPr>
          <t>01-02/2017</t>
        </r>
      </text>
    </comment>
    <comment ref="AA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1.1.2017-7.2.2017</t>
        </r>
      </text>
    </comment>
    <comment ref="AD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1.1.2017 - 13.3.2017</t>
        </r>
      </text>
    </comment>
    <comment ref="AA39" authorId="0" shapeId="0">
      <text>
        <r>
          <rPr>
            <b/>
            <sz val="9"/>
            <color indexed="81"/>
            <rFont val="Tahoma"/>
            <family val="2"/>
            <charset val="238"/>
          </rPr>
          <t>8.2.2017-31.12.2017</t>
        </r>
      </text>
    </comment>
    <comment ref="V40" authorId="0" shapeId="0">
      <text>
        <r>
          <rPr>
            <b/>
            <sz val="9"/>
            <color indexed="81"/>
            <rFont val="Tahoma"/>
            <family val="2"/>
            <charset val="238"/>
          </rPr>
          <t>03-05/2017</t>
        </r>
      </text>
    </comment>
    <comment ref="AD41" authorId="0" shapeId="0">
      <text>
        <r>
          <rPr>
            <b/>
            <sz val="9"/>
            <color indexed="81"/>
            <rFont val="Tahoma"/>
            <family val="2"/>
            <charset val="238"/>
          </rPr>
          <t>14.3.2017 - 31.12.2017</t>
        </r>
      </text>
    </comment>
    <comment ref="P42" authorId="0" shapeId="0">
      <text>
        <r>
          <rPr>
            <b/>
            <sz val="9"/>
            <color indexed="81"/>
            <rFont val="Tahoma"/>
            <family val="2"/>
            <charset val="238"/>
          </rPr>
          <t>10.5.2017-14.6.2017</t>
        </r>
      </text>
    </comment>
    <comment ref="R42" authorId="0" shapeId="0">
      <text>
        <r>
          <rPr>
            <b/>
            <sz val="9"/>
            <color indexed="81"/>
            <rFont val="Tahoma"/>
            <family val="2"/>
            <charset val="238"/>
          </rPr>
          <t>9.5.2017-14.6.2017</t>
        </r>
      </text>
    </comment>
    <comment ref="P43" authorId="0" shapeId="0">
      <text>
        <r>
          <rPr>
            <b/>
            <sz val="9"/>
            <color indexed="81"/>
            <rFont val="Tahoma"/>
            <family val="2"/>
            <charset val="238"/>
          </rPr>
          <t>15.6.2017-3.7.2017</t>
        </r>
      </text>
    </comment>
    <comment ref="R43" authorId="0" shapeId="0">
      <text>
        <r>
          <rPr>
            <b/>
            <sz val="9"/>
            <color indexed="81"/>
            <rFont val="Tahoma"/>
            <family val="2"/>
            <charset val="238"/>
          </rPr>
          <t>15.6.-3.7.2017</t>
        </r>
      </text>
    </comment>
    <comment ref="V43" authorId="0" shapeId="0">
      <text>
        <r>
          <rPr>
            <b/>
            <sz val="9"/>
            <color indexed="81"/>
            <rFont val="Tahoma"/>
            <family val="2"/>
            <charset val="238"/>
          </rPr>
          <t>1.6.-15.9.2017</t>
        </r>
      </text>
    </comment>
    <comment ref="P44" authorId="0" shapeId="0">
      <text>
        <r>
          <rPr>
            <b/>
            <sz val="9"/>
            <color indexed="81"/>
            <rFont val="Tahoma"/>
            <family val="2"/>
            <charset val="238"/>
          </rPr>
          <t>4.7.2017-7.8.2017</t>
        </r>
      </text>
    </comment>
    <comment ref="R44" authorId="0" shapeId="0">
      <text>
        <r>
          <rPr>
            <b/>
            <sz val="9"/>
            <color indexed="81"/>
            <rFont val="Tahoma"/>
            <family val="2"/>
            <charset val="238"/>
          </rPr>
          <t>4.7.2017-7.8.2017</t>
        </r>
      </text>
    </comment>
    <comment ref="P45" authorId="0" shapeId="0">
      <text>
        <r>
          <rPr>
            <b/>
            <sz val="9"/>
            <color indexed="81"/>
            <rFont val="Tahoma"/>
            <family val="2"/>
            <charset val="238"/>
          </rPr>
          <t>8.8.2017-4.9.2017</t>
        </r>
      </text>
    </comment>
    <comment ref="R45" authorId="0" shapeId="0">
      <text>
        <r>
          <rPr>
            <b/>
            <sz val="9"/>
            <color indexed="81"/>
            <rFont val="Tahoma"/>
            <family val="2"/>
            <charset val="238"/>
          </rPr>
          <t>8.8.-4.9.2017</t>
        </r>
      </text>
    </comment>
    <comment ref="P46" authorId="0" shapeId="0">
      <text>
        <r>
          <rPr>
            <b/>
            <sz val="9"/>
            <color indexed="81"/>
            <rFont val="Tahoma"/>
            <family val="2"/>
            <charset val="238"/>
          </rPr>
          <t>5.9.2017-2.10.2017</t>
        </r>
      </text>
    </comment>
    <comment ref="R46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P47" authorId="0" shapeId="0">
      <text>
        <r>
          <rPr>
            <b/>
            <sz val="9"/>
            <color indexed="81"/>
            <rFont val="Tahoma"/>
            <family val="2"/>
            <charset val="238"/>
          </rPr>
          <t>3.10.2017-6.11.2017</t>
        </r>
      </text>
    </comment>
    <comment ref="R47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V47" authorId="0" shapeId="0">
      <text>
        <r>
          <rPr>
            <b/>
            <sz val="9"/>
            <color indexed="81"/>
            <rFont val="Tahoma"/>
            <family val="2"/>
            <charset val="238"/>
          </rPr>
          <t>6.9.-31.12.2017</t>
        </r>
      </text>
    </comment>
    <comment ref="P48" authorId="0" shapeId="0">
      <text>
        <r>
          <rPr>
            <b/>
            <sz val="9"/>
            <color indexed="81"/>
            <rFont val="Tahoma"/>
            <family val="2"/>
            <charset val="238"/>
          </rPr>
          <t>7.11.2017-31.12.2017</t>
        </r>
      </text>
    </comment>
    <comment ref="R48" authorId="0" shapeId="0">
      <text>
        <r>
          <rPr>
            <b/>
            <sz val="9"/>
            <color indexed="81"/>
            <rFont val="Tahoma"/>
            <family val="2"/>
            <charset val="238"/>
          </rPr>
          <t>7.11.2017-31.12.2017</t>
        </r>
      </text>
    </comment>
    <comment ref="P54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1.1.2018-5.2.2018</t>
        </r>
      </text>
    </comment>
    <comment ref="R54" authorId="0" shapeId="0">
      <text>
        <r>
          <rPr>
            <b/>
            <sz val="9"/>
            <color indexed="81"/>
            <rFont val="Tahoma"/>
            <family val="2"/>
            <charset val="238"/>
          </rPr>
          <t>1.1.-5.2.2018</t>
        </r>
      </text>
    </comment>
    <comment ref="V54" authorId="0" shapeId="0">
      <text>
        <r>
          <rPr>
            <b/>
            <sz val="9"/>
            <color indexed="81"/>
            <rFont val="Tahoma"/>
            <family val="2"/>
            <charset val="238"/>
          </rPr>
          <t>01/2018
výměna vodoměru</t>
        </r>
      </text>
    </comment>
    <comment ref="AA54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1.1.2018-2.2.2018</t>
        </r>
      </text>
    </comment>
    <comment ref="P55" authorId="0" shapeId="0">
      <text>
        <r>
          <rPr>
            <b/>
            <sz val="9"/>
            <color indexed="81"/>
            <rFont val="Tahoma"/>
            <family val="2"/>
            <charset val="238"/>
          </rPr>
          <t>6.2.2018-5.3.2018</t>
        </r>
      </text>
    </comment>
    <comment ref="R55" authorId="0" shapeId="0">
      <text>
        <r>
          <rPr>
            <b/>
            <sz val="9"/>
            <color indexed="81"/>
            <rFont val="Tahoma"/>
            <family val="2"/>
            <charset val="238"/>
          </rPr>
          <t>6.2.-5.3.2018</t>
        </r>
      </text>
    </comment>
    <comment ref="V55" authorId="0" shapeId="0">
      <text>
        <r>
          <rPr>
            <b/>
            <sz val="9"/>
            <color indexed="81"/>
            <rFont val="Tahoma"/>
            <family val="2"/>
            <charset val="238"/>
          </rPr>
          <t>02/2018</t>
        </r>
      </text>
    </comment>
    <comment ref="P56" authorId="0" shapeId="0">
      <text>
        <r>
          <rPr>
            <b/>
            <sz val="9"/>
            <color indexed="81"/>
            <rFont val="Tahoma"/>
            <family val="2"/>
            <charset val="238"/>
          </rPr>
          <t>6.3.-23.4.2018</t>
        </r>
      </text>
    </comment>
    <comment ref="R56" authorId="0" shapeId="0">
      <text>
        <r>
          <rPr>
            <b/>
            <sz val="9"/>
            <color indexed="81"/>
            <rFont val="Tahoma"/>
            <family val="2"/>
            <charset val="238"/>
          </rPr>
          <t>6.3.2018-23.4.2018</t>
        </r>
      </text>
    </comment>
    <comment ref="V56" authorId="0" shapeId="0">
      <text>
        <r>
          <rPr>
            <b/>
            <sz val="9"/>
            <color indexed="81"/>
            <rFont val="Tahoma"/>
            <family val="2"/>
            <charset val="238"/>
          </rPr>
          <t>03-05/2018</t>
        </r>
      </text>
    </comment>
    <comment ref="W70" authorId="0" shapeId="0">
      <text>
        <r>
          <rPr>
            <b/>
            <sz val="9"/>
            <color indexed="81"/>
            <rFont val="Tahoma"/>
            <family val="2"/>
            <charset val="238"/>
          </rPr>
          <t>rok 2018</t>
        </r>
      </text>
    </comment>
    <comment ref="AC71" authorId="0" shapeId="0">
      <text>
        <r>
          <rPr>
            <b/>
            <sz val="9"/>
            <color indexed="81"/>
            <rFont val="Tahoma"/>
            <family val="2"/>
            <charset val="238"/>
          </rPr>
          <t>do 15.10.2015</t>
        </r>
      </text>
    </comment>
  </commentList>
</comments>
</file>

<file path=xl/comments2.xml><?xml version="1.0" encoding="utf-8"?>
<comments xmlns="http://schemas.openxmlformats.org/spreadsheetml/2006/main">
  <authors>
    <author>Jitka Mazurková</author>
    <author>Jiří Mazáček</author>
  </authors>
  <commentList>
    <comment ref="R3" authorId="0" shapeId="0">
      <text>
        <r>
          <rPr>
            <b/>
            <sz val="9"/>
            <color indexed="81"/>
            <rFont val="Tahoma"/>
            <charset val="1"/>
          </rPr>
          <t>ME urad Vrchlabi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 * objemový koeficient = MJ</t>
        </r>
      </text>
    </comment>
    <comment ref="Q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S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A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B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E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F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  <charset val="238"/>
          </rPr>
          <t>01/2015</t>
        </r>
      </text>
    </comment>
    <comment ref="P6" authorId="0" shapeId="0">
      <text>
        <r>
          <rPr>
            <b/>
            <sz val="9"/>
            <color indexed="81"/>
            <rFont val="Tahoma"/>
            <family val="2"/>
            <charset val="238"/>
          </rPr>
          <t>1.1.-20.4.2015</t>
        </r>
      </text>
    </comment>
    <comment ref="R6" authorId="0" shapeId="0">
      <text>
        <r>
          <rPr>
            <b/>
            <sz val="9"/>
            <color indexed="81"/>
            <rFont val="Tahoma"/>
            <charset val="1"/>
          </rPr>
          <t>1.1.-20.4.2015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1.1.2015-4.3.2015</t>
        </r>
      </text>
    </comment>
    <comment ref="I7" authorId="0" shapeId="0">
      <text>
        <r>
          <rPr>
            <b/>
            <sz val="9"/>
            <color indexed="81"/>
            <rFont val="Tahoma"/>
            <charset val="1"/>
          </rPr>
          <t>02/2015</t>
        </r>
      </text>
    </comment>
    <comment ref="U7" authorId="0" shapeId="0">
      <text>
        <r>
          <rPr>
            <b/>
            <sz val="9"/>
            <color indexed="81"/>
            <rFont val="Tahoma"/>
            <family val="2"/>
            <charset val="238"/>
          </rPr>
          <t>výměna vodoměru
z 32358571 na 31266684</t>
        </r>
      </text>
    </comment>
    <comment ref="I8" authorId="0" shapeId="0">
      <text>
        <r>
          <rPr>
            <b/>
            <sz val="9"/>
            <color indexed="81"/>
            <rFont val="Tahoma"/>
            <charset val="1"/>
          </rPr>
          <t>03/2015</t>
        </r>
      </text>
    </comment>
    <comment ref="I9" authorId="0" shapeId="0">
      <text>
        <r>
          <rPr>
            <b/>
            <sz val="9"/>
            <color indexed="81"/>
            <rFont val="Tahoma"/>
            <charset val="1"/>
          </rPr>
          <t>04/2015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38"/>
          </rPr>
          <t>21.4.2015-31.12.2015</t>
        </r>
      </text>
    </comment>
    <comment ref="R9" authorId="0" shapeId="0">
      <text>
        <r>
          <rPr>
            <b/>
            <sz val="9"/>
            <color indexed="81"/>
            <rFont val="Tahoma"/>
            <charset val="1"/>
          </rPr>
          <t>21.4.2015-31.12.2015</t>
        </r>
      </text>
    </comment>
    <comment ref="AC9" authorId="0" shapeId="0">
      <text>
        <r>
          <rPr>
            <b/>
            <sz val="9"/>
            <color indexed="81"/>
            <rFont val="Tahoma"/>
            <family val="2"/>
            <charset val="238"/>
          </rPr>
          <t>5.3.2015-31.12.2015</t>
        </r>
      </text>
    </comment>
    <comment ref="I10" authorId="0" shapeId="0">
      <text>
        <r>
          <rPr>
            <b/>
            <sz val="9"/>
            <color indexed="81"/>
            <rFont val="Tahoma"/>
            <charset val="1"/>
          </rPr>
          <t>05/2015</t>
        </r>
      </text>
    </comment>
    <comment ref="I14" authorId="0" shapeId="0">
      <text>
        <r>
          <rPr>
            <b/>
            <sz val="9"/>
            <color indexed="81"/>
            <rFont val="Tahoma"/>
            <charset val="1"/>
          </rPr>
          <t>09/2015</t>
        </r>
      </text>
    </comment>
    <comment ref="I15" authorId="0" shapeId="0">
      <text>
        <r>
          <rPr>
            <b/>
            <sz val="9"/>
            <color indexed="81"/>
            <rFont val="Tahoma"/>
            <charset val="1"/>
          </rPr>
          <t>10/2015</t>
        </r>
      </text>
    </comment>
    <comment ref="I16" authorId="0" shapeId="0">
      <text>
        <r>
          <rPr>
            <b/>
            <sz val="9"/>
            <color indexed="81"/>
            <rFont val="Tahoma"/>
            <charset val="1"/>
          </rPr>
          <t>11/2015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  <charset val="238"/>
          </rPr>
          <t>12/2015</t>
        </r>
      </text>
    </comment>
    <comment ref="I22" authorId="0" shapeId="0">
      <text>
        <r>
          <rPr>
            <b/>
            <sz val="9"/>
            <color indexed="81"/>
            <rFont val="Tahoma"/>
            <charset val="1"/>
          </rPr>
          <t>01/2016</t>
        </r>
      </text>
    </comment>
    <comment ref="P22" authorId="0" shapeId="0">
      <text>
        <r>
          <rPr>
            <b/>
            <sz val="9"/>
            <color indexed="81"/>
            <rFont val="Tahoma"/>
            <family val="2"/>
            <charset val="238"/>
          </rPr>
          <t>1.1.-25.4.2016</t>
        </r>
      </text>
    </comment>
    <comment ref="R22" authorId="0" shapeId="0">
      <text>
        <r>
          <rPr>
            <b/>
            <sz val="9"/>
            <color indexed="81"/>
            <rFont val="Tahoma"/>
            <charset val="1"/>
          </rPr>
          <t>1.1.2016-25.4.2016</t>
        </r>
      </text>
    </comment>
    <comment ref="U22" authorId="0" shapeId="0">
      <text>
        <r>
          <rPr>
            <b/>
            <sz val="9"/>
            <color indexed="81"/>
            <rFont val="Tahoma"/>
            <family val="2"/>
            <charset val="238"/>
          </rPr>
          <t>01 2016</t>
        </r>
      </text>
    </comment>
    <comment ref="AC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1.1.2016-3.3.2016</t>
        </r>
      </text>
    </comment>
    <comment ref="I23" authorId="0" shapeId="0">
      <text>
        <r>
          <rPr>
            <b/>
            <sz val="9"/>
            <color indexed="81"/>
            <rFont val="Tahoma"/>
            <charset val="1"/>
          </rPr>
          <t>02/2016</t>
        </r>
      </text>
    </comment>
    <comment ref="I24" authorId="0" shapeId="0">
      <text>
        <r>
          <rPr>
            <b/>
            <sz val="9"/>
            <color indexed="81"/>
            <rFont val="Tahoma"/>
            <charset val="1"/>
          </rPr>
          <t>03/2016</t>
        </r>
      </text>
    </comment>
    <comment ref="I25" authorId="0" shapeId="0">
      <text>
        <r>
          <rPr>
            <b/>
            <sz val="9"/>
            <color indexed="81"/>
            <rFont val="Tahoma"/>
            <charset val="1"/>
          </rPr>
          <t>04/2016</t>
        </r>
      </text>
    </comment>
    <comment ref="AC25" authorId="0" shapeId="0">
      <text>
        <r>
          <rPr>
            <b/>
            <sz val="9"/>
            <color indexed="81"/>
            <rFont val="Tahoma"/>
            <family val="2"/>
            <charset val="238"/>
          </rPr>
          <t>4.3.2016-31.12.2016</t>
        </r>
      </text>
    </comment>
    <comment ref="I26" authorId="0" shapeId="0">
      <text>
        <r>
          <rPr>
            <b/>
            <sz val="9"/>
            <color indexed="81"/>
            <rFont val="Tahoma"/>
            <charset val="1"/>
          </rPr>
          <t>05/2016</t>
        </r>
      </text>
    </comment>
    <comment ref="P26" authorId="0" shapeId="0">
      <text>
        <r>
          <rPr>
            <b/>
            <sz val="9"/>
            <color indexed="81"/>
            <rFont val="Tahoma"/>
            <family val="2"/>
            <charset val="238"/>
          </rPr>
          <t>26.4.-1.8.2016</t>
        </r>
      </text>
    </comment>
    <comment ref="R26" authorId="0" shapeId="0">
      <text>
        <r>
          <rPr>
            <b/>
            <sz val="9"/>
            <color indexed="81"/>
            <rFont val="Tahoma"/>
            <charset val="1"/>
          </rPr>
          <t>26.4.-1.8.2016</t>
        </r>
      </text>
    </comment>
    <comment ref="P29" authorId="0" shapeId="0">
      <text>
        <r>
          <rPr>
            <b/>
            <sz val="9"/>
            <color indexed="81"/>
            <rFont val="Tahoma"/>
            <family val="2"/>
            <charset val="238"/>
          </rPr>
          <t>2.8.-5.9.2016</t>
        </r>
      </text>
    </comment>
    <comment ref="R29" authorId="0" shapeId="0">
      <text>
        <r>
          <rPr>
            <b/>
            <sz val="9"/>
            <color indexed="81"/>
            <rFont val="Tahoma"/>
            <charset val="1"/>
          </rPr>
          <t>2.8.-5.9.2016</t>
        </r>
      </text>
    </comment>
    <comment ref="P30" authorId="0" shapeId="0">
      <text>
        <r>
          <rPr>
            <b/>
            <sz val="9"/>
            <color indexed="81"/>
            <rFont val="Tahoma"/>
            <family val="2"/>
            <charset val="238"/>
          </rPr>
          <t>6.9.-31.12.2016</t>
        </r>
      </text>
    </comment>
    <comment ref="R30" authorId="0" shapeId="0">
      <text>
        <r>
          <rPr>
            <b/>
            <sz val="9"/>
            <color indexed="81"/>
            <rFont val="Tahoma"/>
            <charset val="1"/>
          </rPr>
          <t>6.9.-3.10.2016</t>
        </r>
      </text>
    </comment>
    <comment ref="R31" authorId="0" shapeId="0">
      <text>
        <r>
          <rPr>
            <b/>
            <sz val="9"/>
            <color indexed="81"/>
            <rFont val="Tahoma"/>
            <charset val="1"/>
          </rPr>
          <t>4.10.-31.12.2016</t>
        </r>
      </text>
    </comment>
    <comment ref="P38" authorId="0" shapeId="0">
      <text>
        <r>
          <rPr>
            <b/>
            <sz val="9"/>
            <color indexed="81"/>
            <rFont val="Tahoma"/>
            <family val="2"/>
            <charset val="238"/>
          </rPr>
          <t>1.1.-24.4.2017</t>
        </r>
      </text>
    </comment>
    <comment ref="R38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 - 3.5.2017</t>
        </r>
      </text>
    </comment>
    <comment ref="U38" authorId="0" shapeId="0">
      <text>
        <r>
          <rPr>
            <b/>
            <sz val="9"/>
            <color indexed="81"/>
            <rFont val="Tahoma"/>
            <family val="2"/>
            <charset val="238"/>
          </rPr>
          <t>01 2017</t>
        </r>
      </text>
    </comment>
    <comment ref="AC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1.1.2017 - 13.3.2017</t>
        </r>
      </text>
    </comment>
    <comment ref="AC41" authorId="0" shapeId="0">
      <text>
        <r>
          <rPr>
            <b/>
            <sz val="9"/>
            <color indexed="81"/>
            <rFont val="Tahoma"/>
            <family val="2"/>
            <charset val="238"/>
          </rPr>
          <t>14.3.2017 - 31.12.2017</t>
        </r>
      </text>
    </comment>
    <comment ref="P42" authorId="0" shapeId="0">
      <text>
        <r>
          <rPr>
            <b/>
            <sz val="9"/>
            <color indexed="81"/>
            <rFont val="Tahoma"/>
            <family val="2"/>
            <charset val="238"/>
          </rPr>
          <t>25.4.2017-5.6.2017</t>
        </r>
      </text>
    </comment>
    <comment ref="R42" authorId="0" shapeId="0">
      <text>
        <r>
          <rPr>
            <b/>
            <sz val="9"/>
            <color indexed="81"/>
            <rFont val="Tahoma"/>
            <charset val="1"/>
          </rPr>
          <t>4.5.-13.6.2017</t>
        </r>
      </text>
    </comment>
    <comment ref="P43" authorId="0" shapeId="0">
      <text>
        <r>
          <rPr>
            <b/>
            <sz val="9"/>
            <color indexed="81"/>
            <rFont val="Tahoma"/>
            <family val="2"/>
            <charset val="238"/>
          </rPr>
          <t>6.6.-14.6.2017</t>
        </r>
      </text>
    </comment>
    <comment ref="R43" authorId="0" shapeId="0">
      <text>
        <r>
          <rPr>
            <b/>
            <sz val="9"/>
            <color indexed="81"/>
            <rFont val="Tahoma"/>
            <charset val="1"/>
          </rPr>
          <t>14.6.-10.8.2017</t>
        </r>
      </text>
    </comment>
    <comment ref="P44" authorId="0" shapeId="0">
      <text>
        <r>
          <rPr>
            <b/>
            <sz val="9"/>
            <color indexed="81"/>
            <rFont val="Tahoma"/>
            <family val="2"/>
            <charset val="238"/>
          </rPr>
          <t>15.6.-3.7.2017</t>
        </r>
      </text>
    </comment>
    <comment ref="P45" authorId="0" shapeId="0">
      <text>
        <r>
          <rPr>
            <b/>
            <sz val="9"/>
            <color indexed="81"/>
            <rFont val="Tahoma"/>
            <family val="2"/>
            <charset val="238"/>
          </rPr>
          <t>4.7.-7.8.2017</t>
        </r>
      </text>
    </comment>
    <comment ref="R45" authorId="0" shapeId="0">
      <text>
        <r>
          <rPr>
            <b/>
            <sz val="9"/>
            <color indexed="81"/>
            <rFont val="Tahoma"/>
            <charset val="1"/>
          </rPr>
          <t>11.8.-4.9.2017</t>
        </r>
      </text>
    </comment>
    <comment ref="P46" authorId="0" shapeId="0">
      <text>
        <r>
          <rPr>
            <b/>
            <sz val="9"/>
            <color indexed="81"/>
            <rFont val="Tahoma"/>
            <family val="2"/>
            <charset val="238"/>
          </rPr>
          <t>8.8.-4.9.2017</t>
        </r>
      </text>
    </comment>
    <comment ref="R46" authorId="0" shapeId="0">
      <text>
        <r>
          <rPr>
            <b/>
            <sz val="9"/>
            <color indexed="81"/>
            <rFont val="Tahoma"/>
            <charset val="1"/>
          </rPr>
          <t>5.9.-2.10.2017</t>
        </r>
      </text>
    </comment>
    <comment ref="P47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R47" authorId="0" shapeId="0">
      <text>
        <r>
          <rPr>
            <b/>
            <sz val="9"/>
            <color indexed="81"/>
            <rFont val="Tahoma"/>
            <charset val="1"/>
          </rPr>
          <t>3.10.-6.11.2017</t>
        </r>
      </text>
    </comment>
    <comment ref="P48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R48" authorId="0" shapeId="0">
      <text>
        <r>
          <rPr>
            <b/>
            <sz val="9"/>
            <color indexed="81"/>
            <rFont val="Tahoma"/>
            <charset val="1"/>
          </rPr>
          <t>7.11.-31.12.2017</t>
        </r>
      </text>
    </comment>
    <comment ref="P49" authorId="0" shapeId="0">
      <text>
        <r>
          <rPr>
            <b/>
            <sz val="9"/>
            <color indexed="81"/>
            <rFont val="Tahoma"/>
            <family val="2"/>
            <charset val="238"/>
          </rPr>
          <t>7.11.-31.12.2017</t>
        </r>
      </text>
    </comment>
    <comment ref="U49" authorId="0" shapeId="0">
      <text>
        <r>
          <rPr>
            <b/>
            <sz val="9"/>
            <color indexed="81"/>
            <rFont val="Tahoma"/>
            <family val="2"/>
            <charset val="238"/>
          </rPr>
          <t>1.12.-31.12.2017</t>
        </r>
      </text>
    </comment>
    <comment ref="P54" authorId="0" shapeId="0">
      <text>
        <r>
          <rPr>
            <b/>
            <sz val="9"/>
            <color indexed="81"/>
            <rFont val="Tahoma"/>
            <family val="2"/>
            <charset val="238"/>
          </rPr>
          <t>1.1.-5.2.2018</t>
        </r>
      </text>
    </comment>
    <comment ref="R54" authorId="0" shapeId="0">
      <text>
        <r>
          <rPr>
            <b/>
            <sz val="9"/>
            <color indexed="81"/>
            <rFont val="Tahoma"/>
            <charset val="1"/>
          </rPr>
          <t>1.1.-5.2.2018</t>
        </r>
      </text>
    </comment>
    <comment ref="P55" authorId="0" shapeId="0">
      <text>
        <r>
          <rPr>
            <b/>
            <sz val="9"/>
            <color indexed="81"/>
            <rFont val="Tahoma"/>
            <family val="2"/>
            <charset val="238"/>
          </rPr>
          <t>6.2.-5.3.2018</t>
        </r>
      </text>
    </comment>
    <comment ref="R55" authorId="0" shapeId="0">
      <text>
        <r>
          <rPr>
            <b/>
            <sz val="9"/>
            <color indexed="81"/>
            <rFont val="Tahoma"/>
            <charset val="1"/>
          </rPr>
          <t>6.2.-5.3.2018</t>
        </r>
      </text>
    </comment>
    <comment ref="P56" authorId="0" shapeId="0">
      <text>
        <r>
          <rPr>
            <b/>
            <sz val="9"/>
            <color indexed="81"/>
            <rFont val="Tahoma"/>
            <family val="2"/>
            <charset val="238"/>
          </rPr>
          <t>6.3.-23.4.2018</t>
        </r>
      </text>
    </comment>
    <comment ref="R56" authorId="0" shapeId="0">
      <text>
        <r>
          <rPr>
            <b/>
            <sz val="9"/>
            <color indexed="81"/>
            <rFont val="Tahoma"/>
            <charset val="1"/>
          </rPr>
          <t>6.3.-23.4.2018</t>
        </r>
      </text>
    </comment>
    <comment ref="V70" authorId="0" shapeId="0">
      <text>
        <r>
          <rPr>
            <b/>
            <sz val="9"/>
            <color indexed="81"/>
            <rFont val="Tahoma"/>
            <family val="2"/>
            <charset val="238"/>
          </rPr>
          <t>rok 2015</t>
        </r>
      </text>
    </comment>
  </commentList>
</comments>
</file>

<file path=xl/comments3.xml><?xml version="1.0" encoding="utf-8"?>
<comments xmlns="http://schemas.openxmlformats.org/spreadsheetml/2006/main">
  <authors>
    <author>Jitka Mazurková</author>
  </authors>
  <commentList>
    <comment ref="Q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U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H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I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L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M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O6" authorId="0" shapeId="0">
      <text>
        <r>
          <rPr>
            <b/>
            <sz val="9"/>
            <color indexed="81"/>
            <rFont val="Tahoma"/>
            <family val="2"/>
            <charset val="238"/>
          </rPr>
          <t>1.1.-14.12.2015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1.1.2015-27.12.2015</t>
        </r>
      </text>
    </comment>
    <comment ref="S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1.1.2015-31.12.2015</t>
        </r>
      </text>
    </comment>
    <comment ref="W6" authorId="0" shapeId="0">
      <text>
        <r>
          <rPr>
            <b/>
            <sz val="9"/>
            <color indexed="81"/>
            <rFont val="Tahoma"/>
            <family val="2"/>
            <charset val="238"/>
          </rPr>
          <t>01-03.2015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  <charset val="238"/>
          </rPr>
          <t>01-03.2015</t>
        </r>
      </text>
    </comment>
    <comment ref="AF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1.1.2015-4.3.2015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1.1.2015-4.3.2015</t>
        </r>
      </text>
    </comment>
    <comment ref="W9" authorId="0" shapeId="0">
      <text>
        <r>
          <rPr>
            <b/>
            <sz val="9"/>
            <color indexed="81"/>
            <rFont val="Tahoma"/>
            <family val="2"/>
            <charset val="238"/>
          </rPr>
          <t>03-06</t>
        </r>
      </text>
    </comment>
    <comment ref="AA9" authorId="0" shapeId="0">
      <text>
        <r>
          <rPr>
            <b/>
            <sz val="9"/>
            <color indexed="81"/>
            <rFont val="Tahoma"/>
            <family val="2"/>
            <charset val="238"/>
          </rPr>
          <t>03-06</t>
        </r>
      </text>
    </comment>
    <comment ref="AF9" authorId="0" shapeId="0">
      <text>
        <r>
          <rPr>
            <b/>
            <sz val="9"/>
            <color indexed="81"/>
            <rFont val="Tahoma"/>
            <family val="2"/>
            <charset val="238"/>
          </rPr>
          <t>5.3.2015-31.12.2015</t>
        </r>
      </text>
    </comment>
    <comment ref="AJ9" authorId="0" shapeId="0">
      <text>
        <r>
          <rPr>
            <b/>
            <sz val="9"/>
            <color indexed="81"/>
            <rFont val="Tahoma"/>
            <family val="2"/>
            <charset val="238"/>
          </rPr>
          <t>5.3.2015-31.12.2015</t>
        </r>
      </text>
    </comment>
    <comment ref="W12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AA12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AA15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O17" authorId="0" shapeId="0">
      <text>
        <r>
          <rPr>
            <b/>
            <sz val="9"/>
            <color indexed="81"/>
            <rFont val="Tahoma"/>
            <family val="2"/>
            <charset val="238"/>
          </rPr>
          <t>15.12.2015-31.12.2015</t>
        </r>
      </text>
    </comment>
    <comment ref="R17" authorId="0" shapeId="0">
      <text>
        <r>
          <rPr>
            <b/>
            <sz val="9"/>
            <color indexed="81"/>
            <rFont val="Tahoma"/>
            <family val="2"/>
            <charset val="238"/>
          </rPr>
          <t>28.12.2015-31.12.2015</t>
        </r>
      </text>
    </comment>
    <comment ref="S17" authorId="0" shapeId="0">
      <text>
        <r>
          <rPr>
            <b/>
            <sz val="9"/>
            <color indexed="81"/>
            <rFont val="Tahoma"/>
            <family val="2"/>
            <charset val="238"/>
          </rPr>
          <t>28.12.2015-31.12.2015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1.1.2016-1.2.2016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  <charset val="238"/>
          </rPr>
          <t>1.1.-1.2.2016</t>
        </r>
      </text>
    </comment>
    <comment ref="S22" authorId="0" shapeId="0">
      <text>
        <r>
          <rPr>
            <b/>
            <sz val="9"/>
            <color indexed="81"/>
            <rFont val="Tahoma"/>
            <family val="2"/>
            <charset val="238"/>
          </rPr>
          <t>1.1.-1.2.2016</t>
        </r>
      </text>
    </comment>
    <comment ref="W22" authorId="0" shapeId="0">
      <text>
        <r>
          <rPr>
            <b/>
            <sz val="9"/>
            <color indexed="81"/>
            <rFont val="Tahoma"/>
            <family val="2"/>
            <charset val="238"/>
          </rPr>
          <t>01-03</t>
        </r>
      </text>
    </comment>
    <comment ref="AA22" authorId="0" shapeId="0">
      <text>
        <r>
          <rPr>
            <b/>
            <sz val="9"/>
            <color indexed="81"/>
            <rFont val="Tahoma"/>
            <family val="2"/>
            <charset val="238"/>
          </rPr>
          <t>01-03</t>
        </r>
      </text>
    </comment>
    <comment ref="AF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1.1.2016-3.3.2016</t>
        </r>
      </text>
    </comment>
    <comment ref="AJ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1.1.2016-3.3.2016</t>
        </r>
      </text>
    </comment>
    <comment ref="O23" authorId="0" shapeId="0">
      <text>
        <r>
          <rPr>
            <b/>
            <sz val="9"/>
            <color indexed="81"/>
            <rFont val="Tahoma"/>
            <family val="2"/>
            <charset val="238"/>
          </rPr>
          <t>2.2.-7.3.2016</t>
        </r>
      </text>
    </comment>
    <comment ref="R23" authorId="0" shapeId="0">
      <text>
        <r>
          <rPr>
            <b/>
            <sz val="9"/>
            <color indexed="81"/>
            <rFont val="Tahoma"/>
            <family val="2"/>
            <charset val="238"/>
          </rPr>
          <t>2.2.-1.8.2016</t>
        </r>
      </text>
    </comment>
    <comment ref="S23" authorId="0" shapeId="0">
      <text>
        <r>
          <rPr>
            <b/>
            <sz val="9"/>
            <color indexed="81"/>
            <rFont val="Tahoma"/>
            <family val="2"/>
            <charset val="238"/>
          </rPr>
          <t>2.2.-1.8.2016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  <charset val="238"/>
          </rPr>
          <t>8.3.-3.4.2016</t>
        </r>
      </text>
    </comment>
    <comment ref="O25" authorId="0" shapeId="0">
      <text>
        <r>
          <rPr>
            <b/>
            <sz val="9"/>
            <color indexed="81"/>
            <rFont val="Tahoma"/>
            <family val="2"/>
            <charset val="238"/>
          </rPr>
          <t>5.4.-4.7.2016</t>
        </r>
      </text>
    </comment>
    <comment ref="W2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04-06
</t>
        </r>
      </text>
    </comment>
    <comment ref="AA25" authorId="0" shapeId="0">
      <text>
        <r>
          <rPr>
            <b/>
            <sz val="9"/>
            <color indexed="81"/>
            <rFont val="Tahoma"/>
            <family val="2"/>
            <charset val="238"/>
          </rPr>
          <t>04-06</t>
        </r>
      </text>
    </comment>
    <comment ref="AF25" authorId="0" shapeId="0">
      <text>
        <r>
          <rPr>
            <b/>
            <sz val="9"/>
            <color indexed="81"/>
            <rFont val="Tahoma"/>
            <family val="2"/>
            <charset val="238"/>
          </rPr>
          <t>4.3.2016-31.12.2016</t>
        </r>
      </text>
    </comment>
    <comment ref="AJ25" authorId="0" shapeId="0">
      <text>
        <r>
          <rPr>
            <b/>
            <sz val="9"/>
            <color indexed="81"/>
            <rFont val="Tahoma"/>
            <family val="2"/>
            <charset val="238"/>
          </rPr>
          <t>4.3.2016-31.12.2016</t>
        </r>
      </text>
    </comment>
    <comment ref="O28" authorId="0" shapeId="0">
      <text>
        <r>
          <rPr>
            <b/>
            <sz val="9"/>
            <color indexed="81"/>
            <rFont val="Tahoma"/>
            <family val="2"/>
            <charset val="238"/>
          </rPr>
          <t>5.7.-1.8.2016</t>
        </r>
      </text>
    </comment>
    <comment ref="W28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AA28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O29" authorId="0" shapeId="0">
      <text>
        <r>
          <rPr>
            <b/>
            <sz val="9"/>
            <color indexed="81"/>
            <rFont val="Tahoma"/>
            <family val="2"/>
            <charset val="238"/>
          </rPr>
          <t>2.8.-5.9.2016</t>
        </r>
      </text>
    </comment>
    <comment ref="R29" authorId="0" shapeId="0">
      <text>
        <r>
          <rPr>
            <b/>
            <sz val="9"/>
            <color indexed="81"/>
            <rFont val="Tahoma"/>
            <family val="2"/>
            <charset val="238"/>
          </rPr>
          <t>2.8.-5.9.2016</t>
        </r>
      </text>
    </comment>
    <comment ref="S29" authorId="0" shapeId="0">
      <text>
        <r>
          <rPr>
            <b/>
            <sz val="9"/>
            <color indexed="81"/>
            <rFont val="Tahoma"/>
            <family val="2"/>
            <charset val="238"/>
          </rPr>
          <t>2.8.-5.9.2016</t>
        </r>
      </text>
    </comment>
    <comment ref="O30" authorId="0" shapeId="0">
      <text>
        <r>
          <rPr>
            <b/>
            <sz val="9"/>
            <color indexed="81"/>
            <rFont val="Tahoma"/>
            <family val="2"/>
            <charset val="238"/>
          </rPr>
          <t>6.9.-7.11.2016</t>
        </r>
      </text>
    </comment>
    <comment ref="R30" authorId="0" shapeId="0">
      <text>
        <r>
          <rPr>
            <b/>
            <sz val="9"/>
            <color indexed="81"/>
            <rFont val="Tahoma"/>
            <family val="2"/>
            <charset val="238"/>
          </rPr>
          <t>6.9.-21.12.2016</t>
        </r>
      </text>
    </comment>
    <comment ref="S30" authorId="0" shapeId="0">
      <text>
        <r>
          <rPr>
            <b/>
            <sz val="9"/>
            <color indexed="81"/>
            <rFont val="Tahoma"/>
            <family val="2"/>
            <charset val="238"/>
          </rPr>
          <t>6.9.-21.12.2016</t>
        </r>
      </text>
    </comment>
    <comment ref="W31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AA31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  <charset val="238"/>
          </rPr>
          <t>8.11.-19.12.2016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  <charset val="238"/>
          </rPr>
          <t>20.12.2016-31.12.2016</t>
        </r>
      </text>
    </comment>
    <comment ref="R33" authorId="0" shapeId="0">
      <text>
        <r>
          <rPr>
            <b/>
            <sz val="9"/>
            <color indexed="81"/>
            <rFont val="Tahoma"/>
            <family val="2"/>
            <charset val="238"/>
          </rPr>
          <t>22.12.2016-31.12.2016</t>
        </r>
      </text>
    </comment>
    <comment ref="S33" authorId="0" shapeId="0">
      <text>
        <r>
          <rPr>
            <b/>
            <sz val="9"/>
            <color indexed="81"/>
            <rFont val="Tahoma"/>
            <family val="2"/>
            <charset val="238"/>
          </rPr>
          <t>22.12.2016-31.12.2016</t>
        </r>
      </text>
    </comment>
    <comment ref="O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1.1.2017-6.2.2017</t>
        </r>
      </text>
    </comment>
    <comment ref="R38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1.1.-14.6.2017
</t>
        </r>
      </text>
    </comment>
    <comment ref="S38" authorId="0" shapeId="0">
      <text>
        <r>
          <rPr>
            <b/>
            <sz val="9"/>
            <color indexed="81"/>
            <rFont val="Tahoma"/>
            <family val="2"/>
            <charset val="238"/>
          </rPr>
          <t>1.1.-14.6.2017</t>
        </r>
      </text>
    </comment>
    <comment ref="W38" authorId="0" shapeId="0">
      <text>
        <r>
          <rPr>
            <b/>
            <sz val="9"/>
            <color indexed="81"/>
            <rFont val="Tahoma"/>
            <family val="2"/>
            <charset val="238"/>
          </rPr>
          <t>01-03</t>
        </r>
      </text>
    </comment>
    <comment ref="AA38" authorId="0" shapeId="0">
      <text>
        <r>
          <rPr>
            <b/>
            <sz val="9"/>
            <color indexed="81"/>
            <rFont val="Tahoma"/>
            <family val="2"/>
            <charset val="238"/>
          </rPr>
          <t>01-03</t>
        </r>
      </text>
    </comment>
    <comment ref="AF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1.1.2017 - 13.3.2017</t>
        </r>
      </text>
    </comment>
    <comment ref="AJ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1.1.2017 - 13.3.2017</t>
        </r>
      </text>
    </comment>
    <comment ref="O39" authorId="0" shapeId="0">
      <text>
        <r>
          <rPr>
            <b/>
            <sz val="9"/>
            <color indexed="81"/>
            <rFont val="Tahoma"/>
            <family val="2"/>
            <charset val="238"/>
          </rPr>
          <t>7.2.-6.3.2017</t>
        </r>
      </text>
    </comment>
    <comment ref="O40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7.3.-3.4.2017
</t>
        </r>
      </text>
    </comment>
    <comment ref="O4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4.4.-1.5.2017
</t>
        </r>
      </text>
    </comment>
    <comment ref="W41" authorId="0" shapeId="0">
      <text>
        <r>
          <rPr>
            <b/>
            <sz val="9"/>
            <color indexed="81"/>
            <rFont val="Tahoma"/>
            <family val="2"/>
            <charset val="238"/>
          </rPr>
          <t>04-06</t>
        </r>
      </text>
    </comment>
    <comment ref="AF41" authorId="0" shapeId="0">
      <text>
        <r>
          <rPr>
            <b/>
            <sz val="9"/>
            <color indexed="81"/>
            <rFont val="Tahoma"/>
            <family val="2"/>
            <charset val="238"/>
          </rPr>
          <t>14.3.2017 - 12.3.2018</t>
        </r>
      </text>
    </comment>
    <comment ref="AG4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736 110 je až do 14.3.2018, proto cca odečtení leden-březen
</t>
        </r>
      </text>
    </comment>
    <comment ref="AJ41" authorId="0" shapeId="0">
      <text>
        <r>
          <rPr>
            <b/>
            <sz val="9"/>
            <color indexed="81"/>
            <rFont val="Tahoma"/>
            <family val="2"/>
            <charset val="238"/>
          </rPr>
          <t>14.3.2017 - 31.12.2017</t>
        </r>
      </text>
    </comment>
    <comment ref="O4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2.5.2017-5.6.2017
</t>
        </r>
      </text>
    </comment>
    <comment ref="O43" authorId="0" shapeId="0">
      <text>
        <r>
          <rPr>
            <b/>
            <sz val="9"/>
            <color indexed="81"/>
            <rFont val="Tahoma"/>
            <family val="2"/>
            <charset val="238"/>
          </rPr>
          <t>6.6.-3.7.2017</t>
        </r>
      </text>
    </comment>
    <comment ref="R43" authorId="0" shapeId="0">
      <text>
        <r>
          <rPr>
            <b/>
            <sz val="9"/>
            <color indexed="81"/>
            <rFont val="Tahoma"/>
            <family val="2"/>
            <charset val="238"/>
          </rPr>
          <t>15.6.-3.7.2017</t>
        </r>
      </text>
    </comment>
    <comment ref="S43" authorId="0" shapeId="0">
      <text>
        <r>
          <rPr>
            <b/>
            <sz val="9"/>
            <color indexed="81"/>
            <rFont val="Tahoma"/>
            <family val="2"/>
            <charset val="238"/>
          </rPr>
          <t>15.6.-3.7.2017</t>
        </r>
      </text>
    </comment>
    <comment ref="O44" authorId="0" shapeId="0">
      <text>
        <r>
          <rPr>
            <b/>
            <sz val="9"/>
            <color indexed="81"/>
            <rFont val="Tahoma"/>
            <family val="2"/>
            <charset val="238"/>
          </rPr>
          <t>4.7.-7.8.2017</t>
        </r>
      </text>
    </comment>
    <comment ref="R44" authorId="0" shapeId="0">
      <text>
        <r>
          <rPr>
            <b/>
            <sz val="9"/>
            <color indexed="81"/>
            <rFont val="Tahoma"/>
            <family val="2"/>
            <charset val="238"/>
          </rPr>
          <t>4.7.-7.8.2017</t>
        </r>
      </text>
    </comment>
    <comment ref="S44" authorId="0" shapeId="0">
      <text>
        <r>
          <rPr>
            <b/>
            <sz val="9"/>
            <color indexed="81"/>
            <rFont val="Tahoma"/>
            <family val="2"/>
            <charset val="238"/>
          </rPr>
          <t>4.7.-7.8.2017</t>
        </r>
      </text>
    </comment>
    <comment ref="W44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AA44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07-09
</t>
        </r>
      </text>
    </comment>
    <comment ref="O4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8.8.-4.9.2017
</t>
        </r>
      </text>
    </comment>
    <comment ref="R45" authorId="0" shapeId="0">
      <text>
        <r>
          <rPr>
            <b/>
            <sz val="9"/>
            <color indexed="81"/>
            <rFont val="Tahoma"/>
            <family val="2"/>
            <charset val="238"/>
          </rPr>
          <t>8.8.-4.9.2017</t>
        </r>
      </text>
    </comment>
    <comment ref="S45" authorId="0" shapeId="0">
      <text>
        <r>
          <rPr>
            <b/>
            <sz val="9"/>
            <color indexed="81"/>
            <rFont val="Tahoma"/>
            <family val="2"/>
            <charset val="238"/>
          </rPr>
          <t>8.8.-4.9.2017</t>
        </r>
      </text>
    </comment>
    <comment ref="O46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R46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S46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O47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R47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S47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W47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AA47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O48" authorId="0" shapeId="0">
      <text>
        <r>
          <rPr>
            <b/>
            <sz val="9"/>
            <color indexed="81"/>
            <rFont val="Tahoma"/>
            <family val="2"/>
            <charset val="238"/>
          </rPr>
          <t>7.11.-8.12.2017</t>
        </r>
      </text>
    </comment>
    <comment ref="R48" authorId="0" shapeId="0">
      <text>
        <r>
          <rPr>
            <b/>
            <sz val="9"/>
            <color indexed="81"/>
            <rFont val="Tahoma"/>
            <family val="2"/>
            <charset val="238"/>
          </rPr>
          <t>7.11.-8.12.2017</t>
        </r>
      </text>
    </comment>
    <comment ref="S48" authorId="0" shapeId="0">
      <text>
        <r>
          <rPr>
            <b/>
            <sz val="9"/>
            <color indexed="81"/>
            <rFont val="Tahoma"/>
            <family val="2"/>
            <charset val="238"/>
          </rPr>
          <t>7.11.-8.12.2017</t>
        </r>
      </text>
    </comment>
    <comment ref="O49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9.12.2017-31.12.2017
</t>
        </r>
      </text>
    </comment>
    <comment ref="R49" authorId="0" shapeId="0">
      <text>
        <r>
          <rPr>
            <b/>
            <sz val="9"/>
            <color indexed="81"/>
            <rFont val="Tahoma"/>
            <family val="2"/>
            <charset val="238"/>
          </rPr>
          <t>9.12.2017-31.12.2017</t>
        </r>
      </text>
    </comment>
    <comment ref="S49" authorId="0" shapeId="0">
      <text>
        <r>
          <rPr>
            <b/>
            <sz val="9"/>
            <color indexed="81"/>
            <rFont val="Tahoma"/>
            <family val="2"/>
            <charset val="238"/>
          </rPr>
          <t>9.12.2017-31.12.2017</t>
        </r>
      </text>
    </comment>
    <comment ref="AD70" authorId="0" shapeId="0">
      <text>
        <r>
          <rPr>
            <b/>
            <sz val="9"/>
            <color indexed="81"/>
            <rFont val="Tahoma"/>
            <family val="2"/>
            <charset val="238"/>
          </rPr>
          <t>nový vodoměr od 10/2017</t>
        </r>
      </text>
    </comment>
  </commentList>
</comments>
</file>

<file path=xl/comments4.xml><?xml version="1.0" encoding="utf-8"?>
<comments xmlns="http://schemas.openxmlformats.org/spreadsheetml/2006/main">
  <authors>
    <author>Jitka Mazurková</author>
  </authors>
  <commentList>
    <comment ref="P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W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I6" authorId="0" shapeId="0">
      <text>
        <r>
          <rPr>
            <b/>
            <sz val="9"/>
            <color indexed="81"/>
            <rFont val="Tahoma"/>
            <charset val="1"/>
          </rPr>
          <t xml:space="preserve">1.1.2015-31.1.2015
</t>
        </r>
      </text>
    </comment>
    <comment ref="O6" authorId="0" shapeId="0">
      <text>
        <r>
          <rPr>
            <b/>
            <sz val="9"/>
            <color indexed="81"/>
            <rFont val="Tahoma"/>
            <family val="2"/>
            <charset val="238"/>
          </rPr>
          <t>1.1.-30.6.2015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1.1.2015-31.10.2015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1.1.2015-31.10.2015</t>
        </r>
      </text>
    </comment>
    <comment ref="U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1.1.2015-10.11.2015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1.1.2015-10.11.2015</t>
        </r>
      </text>
    </comment>
    <comment ref="Y6" authorId="0" shapeId="0">
      <text>
        <r>
          <rPr>
            <b/>
            <sz val="9"/>
            <color indexed="81"/>
            <rFont val="Tahoma"/>
            <family val="2"/>
            <charset val="238"/>
          </rPr>
          <t>01-03.2015</t>
        </r>
      </text>
    </comment>
    <comment ref="I7" authorId="0" shapeId="0">
      <text>
        <r>
          <rPr>
            <b/>
            <sz val="9"/>
            <color indexed="81"/>
            <rFont val="Tahoma"/>
            <charset val="1"/>
          </rPr>
          <t>1.2.2015-28.2.2015</t>
        </r>
      </text>
    </comment>
    <comment ref="Y9" authorId="0" shapeId="0">
      <text>
        <r>
          <rPr>
            <b/>
            <sz val="9"/>
            <color indexed="81"/>
            <rFont val="Tahoma"/>
            <family val="2"/>
            <charset val="238"/>
          </rPr>
          <t>03-06</t>
        </r>
      </text>
    </comment>
    <comment ref="O12" authorId="0" shapeId="0">
      <text>
        <r>
          <rPr>
            <b/>
            <sz val="9"/>
            <color indexed="81"/>
            <rFont val="Tahoma"/>
            <family val="2"/>
            <charset val="238"/>
          </rPr>
          <t>1.7.2015-30.11.2015</t>
        </r>
      </text>
    </comment>
    <comment ref="Y12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  <charset val="238"/>
          </rPr>
          <t>1.9.-30.9.2015</t>
        </r>
      </text>
    </comment>
    <comment ref="I15" authorId="0" shapeId="0">
      <text>
        <r>
          <rPr>
            <b/>
            <sz val="9"/>
            <color indexed="81"/>
            <rFont val="Tahoma"/>
            <family val="2"/>
            <charset val="238"/>
          </rPr>
          <t>10/2015</t>
        </r>
      </text>
    </comment>
    <comment ref="Y15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I16" authorId="0" shapeId="0">
      <text>
        <r>
          <rPr>
            <b/>
            <sz val="9"/>
            <color indexed="81"/>
            <rFont val="Tahoma"/>
            <family val="2"/>
            <charset val="238"/>
          </rPr>
          <t>11/2015</t>
        </r>
      </text>
    </comment>
    <comment ref="Q16" authorId="0" shapeId="0">
      <text>
        <r>
          <rPr>
            <b/>
            <sz val="9"/>
            <color indexed="81"/>
            <rFont val="Tahoma"/>
            <family val="2"/>
            <charset val="238"/>
          </rPr>
          <t>1.11.-31.11.2015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38"/>
          </rPr>
          <t>1.11.-31.11.2015</t>
        </r>
      </text>
    </comment>
    <comment ref="I17" authorId="0" shapeId="0">
      <text>
        <r>
          <rPr>
            <b/>
            <sz val="9"/>
            <color indexed="81"/>
            <rFont val="Tahoma"/>
            <family val="2"/>
            <charset val="238"/>
          </rPr>
          <t>12/2015</t>
        </r>
      </text>
    </comment>
    <comment ref="O17" authorId="0" shapeId="0">
      <text>
        <r>
          <rPr>
            <b/>
            <sz val="9"/>
            <color indexed="81"/>
            <rFont val="Tahoma"/>
            <family val="2"/>
            <charset val="238"/>
          </rPr>
          <t>1.12.2015-31.12.2015</t>
        </r>
      </text>
    </comment>
    <comment ref="Q17" authorId="0" shapeId="0">
      <text>
        <r>
          <rPr>
            <b/>
            <sz val="9"/>
            <color indexed="81"/>
            <rFont val="Tahoma"/>
            <family val="2"/>
            <charset val="238"/>
          </rPr>
          <t>1.12.2015-31.12.2015</t>
        </r>
      </text>
    </comment>
    <comment ref="R17" authorId="0" shapeId="0">
      <text>
        <r>
          <rPr>
            <b/>
            <sz val="9"/>
            <color indexed="81"/>
            <rFont val="Tahoma"/>
            <family val="2"/>
            <charset val="238"/>
          </rPr>
          <t>1.12.2015-31.12.2015</t>
        </r>
      </text>
    </comment>
    <comment ref="U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1.1.2016-15.11.2016</t>
        </r>
      </text>
    </comment>
    <comment ref="V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1.1.2016-15.11.2016</t>
        </r>
      </text>
    </comment>
    <comment ref="Y22" authorId="0" shapeId="0">
      <text>
        <r>
          <rPr>
            <b/>
            <sz val="9"/>
            <color indexed="81"/>
            <rFont val="Tahoma"/>
            <family val="2"/>
            <charset val="238"/>
          </rPr>
          <t>01-03</t>
        </r>
      </text>
    </comment>
    <comment ref="Y25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04-06
</t>
        </r>
      </text>
    </comment>
    <comment ref="Y28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Y31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  <comment ref="U33" authorId="0" shapeId="0">
      <text>
        <r>
          <rPr>
            <b/>
            <sz val="9"/>
            <color indexed="81"/>
            <rFont val="Tahoma"/>
            <family val="2"/>
            <charset val="238"/>
          </rPr>
          <t>16.11.2016-31.12.2016</t>
        </r>
      </text>
    </comment>
    <comment ref="V33" authorId="0" shapeId="0">
      <text>
        <r>
          <rPr>
            <b/>
            <sz val="9"/>
            <color indexed="81"/>
            <rFont val="Tahoma"/>
            <family val="2"/>
            <charset val="238"/>
          </rPr>
          <t>16.11.2016-31.12.2016</t>
        </r>
      </text>
    </comment>
    <comment ref="U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1.1.2017-14.11.2017</t>
        </r>
      </text>
    </comment>
    <comment ref="V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1.1.2017-14.11.2017</t>
        </r>
      </text>
    </comment>
    <comment ref="Y38" authorId="0" shapeId="0">
      <text>
        <r>
          <rPr>
            <b/>
            <sz val="9"/>
            <color indexed="81"/>
            <rFont val="Tahoma"/>
            <family val="2"/>
            <charset val="238"/>
          </rPr>
          <t>01-03</t>
        </r>
      </text>
    </comment>
    <comment ref="Y41" authorId="0" shapeId="0">
      <text>
        <r>
          <rPr>
            <b/>
            <sz val="9"/>
            <color indexed="81"/>
            <rFont val="Tahoma"/>
            <family val="2"/>
            <charset val="238"/>
          </rPr>
          <t>04-06</t>
        </r>
      </text>
    </comment>
    <comment ref="Y44" authorId="0" shapeId="0">
      <text>
        <r>
          <rPr>
            <b/>
            <sz val="9"/>
            <color indexed="81"/>
            <rFont val="Tahoma"/>
            <family val="2"/>
            <charset val="238"/>
          </rPr>
          <t>07-09</t>
        </r>
      </text>
    </comment>
    <comment ref="I46" authorId="0" shapeId="0">
      <text>
        <r>
          <rPr>
            <b/>
            <sz val="9"/>
            <color indexed="81"/>
            <rFont val="Tahoma"/>
            <charset val="1"/>
          </rPr>
          <t>1.9.2017-30.9.2017</t>
        </r>
      </text>
    </comment>
    <comment ref="Y47" authorId="0" shapeId="0">
      <text>
        <r>
          <rPr>
            <b/>
            <sz val="9"/>
            <color indexed="81"/>
            <rFont val="Tahoma"/>
            <family val="2"/>
            <charset val="238"/>
          </rPr>
          <t>10-12</t>
        </r>
      </text>
    </comment>
  </commentList>
</comments>
</file>

<file path=xl/comments5.xml><?xml version="1.0" encoding="utf-8"?>
<comments xmlns="http://schemas.openxmlformats.org/spreadsheetml/2006/main">
  <authors>
    <author>Jitka Mazurková</author>
  </authors>
  <commentList>
    <comment ref="P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B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C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F4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AG4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O6" authorId="0" shapeId="0">
      <text>
        <r>
          <rPr>
            <b/>
            <sz val="9"/>
            <color indexed="81"/>
            <rFont val="Tahoma"/>
            <family val="2"/>
            <charset val="238"/>
          </rPr>
          <t>1.1.-27.4.2015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1.1.2015-27.4.2015</t>
        </r>
      </text>
    </comment>
    <comment ref="R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1.1.2015-27.4.2015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  <charset val="238"/>
          </rPr>
          <t>01-02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  <charset val="238"/>
          </rPr>
          <t>od 1.1.2015 do 7.3.2015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  <charset val="238"/>
          </rPr>
          <t>od 1.1.2015 do 7.3.2015</t>
        </r>
      </text>
    </comment>
    <comment ref="AD6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1.1.2015-4.3.2015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  <charset val="238"/>
          </rPr>
          <t>1.3.-31.5.</t>
        </r>
      </text>
    </comment>
    <comment ref="AA9" authorId="0" shapeId="0">
      <text>
        <r>
          <rPr>
            <b/>
            <sz val="9"/>
            <color indexed="81"/>
            <rFont val="Tahoma"/>
            <family val="2"/>
            <charset val="238"/>
          </rPr>
          <t>8.3.-18.12.2015</t>
        </r>
      </text>
    </comment>
    <comment ref="AB9" authorId="0" shapeId="0">
      <text>
        <r>
          <rPr>
            <b/>
            <sz val="9"/>
            <color indexed="81"/>
            <rFont val="Tahoma"/>
            <family val="2"/>
            <charset val="238"/>
          </rPr>
          <t>8.3.-18.12.2015</t>
        </r>
      </text>
    </comment>
    <comment ref="AD9" authorId="0" shapeId="0">
      <text>
        <r>
          <rPr>
            <b/>
            <sz val="9"/>
            <color indexed="81"/>
            <rFont val="Tahoma"/>
            <family val="2"/>
            <charset val="238"/>
          </rPr>
          <t>5.3.2015-31.12.2015</t>
        </r>
      </text>
    </comment>
    <comment ref="O10" authorId="0" shapeId="0">
      <text>
        <r>
          <rPr>
            <b/>
            <sz val="9"/>
            <color indexed="81"/>
            <rFont val="Tahoma"/>
            <family val="2"/>
            <charset val="238"/>
          </rPr>
          <t>28.4.2015-31.12.2015</t>
        </r>
      </text>
    </comment>
    <comment ref="Q10" authorId="0" shapeId="0">
      <text>
        <r>
          <rPr>
            <b/>
            <sz val="9"/>
            <color indexed="81"/>
            <rFont val="Tahoma"/>
            <family val="2"/>
            <charset val="238"/>
          </rPr>
          <t>28.4.2015-31.12.2015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  <charset val="238"/>
          </rPr>
          <t>28.4.2015-31.12.2015</t>
        </r>
      </text>
    </comment>
    <comment ref="V11" authorId="0" shapeId="0">
      <text>
        <r>
          <rPr>
            <b/>
            <sz val="9"/>
            <color indexed="81"/>
            <rFont val="Tahoma"/>
            <family val="2"/>
            <charset val="238"/>
          </rPr>
          <t>06-09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38"/>
          </rPr>
          <t>09-12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1.1.2016-10.5.2016</t>
        </r>
      </text>
    </comment>
    <comment ref="Q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1.1.2016-2.5.2016</t>
        </r>
      </text>
    </comment>
    <comment ref="R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1.1.2016-2.5.2016</t>
        </r>
      </text>
    </comment>
    <comment ref="V22" authorId="0" shapeId="0">
      <text>
        <r>
          <rPr>
            <b/>
            <sz val="9"/>
            <color indexed="81"/>
            <rFont val="Tahoma"/>
            <family val="2"/>
            <charset val="238"/>
          </rPr>
          <t>01-02</t>
        </r>
      </text>
    </comment>
    <comment ref="AA22" authorId="0" shapeId="0">
      <text>
        <r>
          <rPr>
            <b/>
            <sz val="9"/>
            <color indexed="81"/>
            <rFont val="Tahoma"/>
            <charset val="1"/>
          </rPr>
          <t>1.1.2016-7.3.2016</t>
        </r>
      </text>
    </comment>
    <comment ref="AD22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1.1.2016-3.3.2016</t>
        </r>
      </text>
    </comment>
    <comment ref="V24" authorId="0" shapeId="0">
      <text>
        <r>
          <rPr>
            <b/>
            <sz val="9"/>
            <color indexed="81"/>
            <rFont val="Tahoma"/>
            <family val="2"/>
            <charset val="238"/>
          </rPr>
          <t>1.3.-31.5.</t>
        </r>
      </text>
    </comment>
    <comment ref="AA24" authorId="0" shapeId="0">
      <text>
        <r>
          <rPr>
            <b/>
            <sz val="9"/>
            <color indexed="81"/>
            <rFont val="Tahoma"/>
            <charset val="1"/>
          </rPr>
          <t>8.3.2016-31.12.2016</t>
        </r>
      </text>
    </comment>
    <comment ref="AD25" authorId="0" shapeId="0">
      <text>
        <r>
          <rPr>
            <b/>
            <sz val="9"/>
            <color indexed="81"/>
            <rFont val="Tahoma"/>
            <family val="2"/>
            <charset val="238"/>
          </rPr>
          <t>4.3.2016-31.12.2016</t>
        </r>
      </text>
    </comment>
    <comment ref="Q26" authorId="0" shapeId="0">
      <text>
        <r>
          <rPr>
            <b/>
            <sz val="9"/>
            <color indexed="81"/>
            <rFont val="Tahoma"/>
            <family val="2"/>
            <charset val="238"/>
          </rPr>
          <t>3.5.-5.9.2016</t>
        </r>
      </text>
    </comment>
    <comment ref="R26" authorId="0" shapeId="0">
      <text>
        <r>
          <rPr>
            <b/>
            <sz val="9"/>
            <color indexed="81"/>
            <rFont val="Tahoma"/>
            <family val="2"/>
            <charset val="238"/>
          </rPr>
          <t>3.5.-5.9.2016</t>
        </r>
      </text>
    </comment>
    <comment ref="O27" authorId="0" shapeId="0">
      <text>
        <r>
          <rPr>
            <b/>
            <sz val="9"/>
            <color indexed="81"/>
            <rFont val="Tahoma"/>
            <family val="2"/>
            <charset val="238"/>
          </rPr>
          <t>11.5.2016-5.9.2016</t>
        </r>
      </text>
    </comment>
    <comment ref="V27" authorId="0" shapeId="0">
      <text>
        <r>
          <rPr>
            <b/>
            <sz val="9"/>
            <color indexed="81"/>
            <rFont val="Tahoma"/>
            <family val="2"/>
            <charset val="238"/>
          </rPr>
          <t>1.6.2016-15.9.2016</t>
        </r>
      </text>
    </comment>
    <comment ref="O30" authorId="0" shapeId="0">
      <text>
        <r>
          <rPr>
            <b/>
            <sz val="9"/>
            <color indexed="81"/>
            <rFont val="Tahoma"/>
            <family val="2"/>
            <charset val="238"/>
          </rPr>
          <t>6.9.-3.10.2016</t>
        </r>
      </text>
    </comment>
    <comment ref="Q30" authorId="0" shapeId="0">
      <text>
        <r>
          <rPr>
            <b/>
            <sz val="9"/>
            <color indexed="81"/>
            <rFont val="Tahoma"/>
            <family val="2"/>
            <charset val="238"/>
          </rPr>
          <t>6.9.-3.10.2016</t>
        </r>
      </text>
    </comment>
    <comment ref="R30" authorId="0" shapeId="0">
      <text>
        <r>
          <rPr>
            <b/>
            <sz val="9"/>
            <color indexed="81"/>
            <rFont val="Tahoma"/>
            <family val="2"/>
            <charset val="238"/>
          </rPr>
          <t>6.9.-3.10.2016</t>
        </r>
      </text>
    </comment>
    <comment ref="O31" authorId="0" shapeId="0">
      <text>
        <r>
          <rPr>
            <b/>
            <sz val="9"/>
            <color indexed="81"/>
            <rFont val="Tahoma"/>
            <family val="2"/>
            <charset val="238"/>
          </rPr>
          <t>4.10.-7.11.2016</t>
        </r>
      </text>
    </comment>
    <comment ref="Q31" authorId="0" shapeId="0">
      <text>
        <r>
          <rPr>
            <b/>
            <sz val="9"/>
            <color indexed="81"/>
            <rFont val="Tahoma"/>
            <family val="2"/>
            <charset val="238"/>
          </rPr>
          <t>4.10.-7.11.2016</t>
        </r>
      </text>
    </comment>
    <comment ref="R31" authorId="0" shapeId="0">
      <text>
        <r>
          <rPr>
            <b/>
            <sz val="9"/>
            <color indexed="81"/>
            <rFont val="Tahoma"/>
            <family val="2"/>
            <charset val="238"/>
          </rPr>
          <t>4.10.-7.11.2016</t>
        </r>
      </text>
    </comment>
    <comment ref="V31" authorId="0" shapeId="0">
      <text>
        <r>
          <rPr>
            <b/>
            <sz val="9"/>
            <color indexed="81"/>
            <rFont val="Tahoma"/>
            <family val="2"/>
            <charset val="238"/>
          </rPr>
          <t>16.9.2016-31.12.2016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  <charset val="238"/>
          </rPr>
          <t>8.11.-31.12.2016</t>
        </r>
      </text>
    </comment>
    <comment ref="Q32" authorId="0" shapeId="0">
      <text>
        <r>
          <rPr>
            <b/>
            <sz val="9"/>
            <color indexed="81"/>
            <rFont val="Tahoma"/>
            <family val="2"/>
            <charset val="238"/>
          </rPr>
          <t>8.11.-31.12.2016
napsáno ve faktuře odhad odečtu</t>
        </r>
      </text>
    </comment>
    <comment ref="R32" authorId="0" shapeId="0">
      <text>
        <r>
          <rPr>
            <b/>
            <sz val="9"/>
            <color indexed="81"/>
            <rFont val="Tahoma"/>
            <family val="2"/>
            <charset val="238"/>
          </rPr>
          <t>8.11.-31.12.2016</t>
        </r>
      </text>
    </comment>
    <comment ref="O38" authorId="0" shapeId="0">
      <text>
        <r>
          <rPr>
            <b/>
            <sz val="9"/>
            <color indexed="81"/>
            <rFont val="Tahoma"/>
            <family val="2"/>
            <charset val="238"/>
          </rPr>
          <t>1.1.-2.1.2017</t>
        </r>
      </text>
    </comment>
    <comment ref="Q38" authorId="0" shapeId="0">
      <text>
        <r>
          <rPr>
            <b/>
            <sz val="9"/>
            <color indexed="81"/>
            <rFont val="Tahoma"/>
            <family val="2"/>
            <charset val="238"/>
          </rPr>
          <t>1.1.-2.1.2017</t>
        </r>
      </text>
    </comment>
    <comment ref="R38" authorId="0" shapeId="0">
      <text>
        <r>
          <rPr>
            <b/>
            <sz val="9"/>
            <color indexed="81"/>
            <rFont val="Tahoma"/>
            <family val="2"/>
            <charset val="238"/>
          </rPr>
          <t>1.1.-2.1.2017</t>
        </r>
      </text>
    </comment>
    <comment ref="V38" authorId="0" shapeId="0">
      <text>
        <r>
          <rPr>
            <b/>
            <sz val="9"/>
            <color indexed="81"/>
            <rFont val="Tahoma"/>
            <family val="2"/>
            <charset val="238"/>
          </rPr>
          <t>01-02</t>
        </r>
      </text>
    </comment>
    <comment ref="AA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1.1.2017 - 9.3.2017</t>
        </r>
      </text>
    </comment>
    <comment ref="AB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1.1.2017 - 9.3.2017</t>
        </r>
      </text>
    </comment>
    <comment ref="AD38" authorId="0" shapeId="0">
      <text>
        <r>
          <rPr>
            <b/>
            <sz val="9"/>
            <color indexed="81"/>
            <rFont val="Tahoma"/>
            <family val="2"/>
            <charset val="238"/>
          </rPr>
          <t>1.1.2017 - 13.3.2017</t>
        </r>
      </text>
    </comment>
    <comment ref="O39" authorId="0" shapeId="0">
      <text>
        <r>
          <rPr>
            <b/>
            <sz val="9"/>
            <color indexed="81"/>
            <rFont val="Tahoma"/>
            <family val="2"/>
            <charset val="238"/>
          </rPr>
          <t>3.1.-6.2.2017</t>
        </r>
      </text>
    </comment>
    <comment ref="Q39" authorId="0" shapeId="0">
      <text>
        <r>
          <rPr>
            <b/>
            <sz val="9"/>
            <color indexed="81"/>
            <rFont val="Tahoma"/>
            <family val="2"/>
            <charset val="238"/>
          </rPr>
          <t>3.1.-6.2.2017</t>
        </r>
      </text>
    </comment>
    <comment ref="R39" authorId="0" shapeId="0">
      <text>
        <r>
          <rPr>
            <b/>
            <sz val="9"/>
            <color indexed="81"/>
            <rFont val="Tahoma"/>
            <family val="2"/>
            <charset val="238"/>
          </rPr>
          <t>3.1.-6.2.2017</t>
        </r>
      </text>
    </comment>
    <comment ref="O40" authorId="0" shapeId="0">
      <text>
        <r>
          <rPr>
            <b/>
            <sz val="9"/>
            <color indexed="81"/>
            <rFont val="Tahoma"/>
            <family val="2"/>
            <charset val="238"/>
          </rPr>
          <t>7.2.-6.3.2017</t>
        </r>
      </text>
    </comment>
    <comment ref="Q40" authorId="0" shapeId="0">
      <text>
        <r>
          <rPr>
            <b/>
            <sz val="9"/>
            <color indexed="81"/>
            <rFont val="Tahoma"/>
            <family val="2"/>
            <charset val="238"/>
          </rPr>
          <t>7.2.-6.3.2017</t>
        </r>
      </text>
    </comment>
    <comment ref="R40" authorId="0" shapeId="0">
      <text>
        <r>
          <rPr>
            <b/>
            <sz val="9"/>
            <color indexed="81"/>
            <rFont val="Tahoma"/>
            <family val="2"/>
            <charset val="238"/>
          </rPr>
          <t>7.2.-6.3.2017</t>
        </r>
      </text>
    </comment>
    <comment ref="V40" authorId="0" shapeId="0">
      <text>
        <r>
          <rPr>
            <b/>
            <sz val="9"/>
            <color indexed="81"/>
            <rFont val="Tahoma"/>
            <family val="2"/>
            <charset val="238"/>
          </rPr>
          <t>1.3.-31.5.</t>
        </r>
      </text>
    </comment>
    <comment ref="O41" authorId="0" shapeId="0">
      <text>
        <r>
          <rPr>
            <b/>
            <sz val="9"/>
            <color indexed="81"/>
            <rFont val="Tahoma"/>
            <family val="2"/>
            <charset val="238"/>
          </rPr>
          <t>7.3.-1.5.2017</t>
        </r>
      </text>
    </comment>
    <comment ref="Q41" authorId="0" shapeId="0">
      <text>
        <r>
          <rPr>
            <b/>
            <sz val="9"/>
            <color indexed="81"/>
            <rFont val="Tahoma"/>
            <family val="2"/>
            <charset val="238"/>
          </rPr>
          <t>7.3.-1.5.2017</t>
        </r>
      </text>
    </comment>
    <comment ref="R41" authorId="0" shapeId="0">
      <text>
        <r>
          <rPr>
            <b/>
            <sz val="9"/>
            <color indexed="81"/>
            <rFont val="Tahoma"/>
            <family val="2"/>
            <charset val="238"/>
          </rPr>
          <t>7.3.-1.5.2017</t>
        </r>
      </text>
    </comment>
    <comment ref="AA41" authorId="0" shapeId="0">
      <text>
        <r>
          <rPr>
            <b/>
            <sz val="9"/>
            <color indexed="81"/>
            <rFont val="Tahoma"/>
            <family val="2"/>
            <charset val="238"/>
          </rPr>
          <t>10.3.2017 - 18.5.2017</t>
        </r>
      </text>
    </comment>
    <comment ref="AB41" authorId="0" shapeId="0">
      <text>
        <r>
          <rPr>
            <b/>
            <sz val="9"/>
            <color indexed="81"/>
            <rFont val="Tahoma"/>
            <family val="2"/>
            <charset val="238"/>
          </rPr>
          <t>10.3.2017 - 18.5.2017</t>
        </r>
      </text>
    </comment>
    <comment ref="AD41" authorId="0" shapeId="0">
      <text>
        <r>
          <rPr>
            <b/>
            <sz val="9"/>
            <color indexed="81"/>
            <rFont val="Tahoma"/>
            <family val="2"/>
            <charset val="238"/>
          </rPr>
          <t>14.3.2017 - 31.12.2017</t>
        </r>
      </text>
    </comment>
    <comment ref="Q42" authorId="0" shapeId="0">
      <text>
        <r>
          <rPr>
            <b/>
            <sz val="9"/>
            <color indexed="81"/>
            <rFont val="Tahoma"/>
            <family val="2"/>
            <charset val="238"/>
          </rPr>
          <t>2.5.-5.6.2017</t>
        </r>
      </text>
    </comment>
    <comment ref="R42" authorId="0" shapeId="0">
      <text>
        <r>
          <rPr>
            <b/>
            <sz val="9"/>
            <color indexed="81"/>
            <rFont val="Tahoma"/>
            <family val="2"/>
            <charset val="238"/>
          </rPr>
          <t>2.5.-5.6.2017</t>
        </r>
      </text>
    </comment>
    <comment ref="O43" authorId="0" shapeId="0">
      <text>
        <r>
          <rPr>
            <b/>
            <sz val="9"/>
            <color indexed="81"/>
            <rFont val="Tahoma"/>
            <family val="2"/>
            <charset val="238"/>
          </rPr>
          <t>2.5.-5.6.2017</t>
        </r>
      </text>
    </comment>
    <comment ref="Q43" authorId="0" shapeId="0">
      <text>
        <r>
          <rPr>
            <b/>
            <sz val="9"/>
            <color indexed="81"/>
            <rFont val="Tahoma"/>
            <family val="2"/>
            <charset val="238"/>
          </rPr>
          <t>6.6.-3.7.2017</t>
        </r>
      </text>
    </comment>
    <comment ref="R43" authorId="0" shapeId="0">
      <text>
        <r>
          <rPr>
            <b/>
            <sz val="9"/>
            <color indexed="81"/>
            <rFont val="Tahoma"/>
            <family val="2"/>
            <charset val="238"/>
          </rPr>
          <t>6.6.-3.7.2017</t>
        </r>
      </text>
    </comment>
    <comment ref="V43" authorId="0" shapeId="0">
      <text>
        <r>
          <rPr>
            <b/>
            <sz val="9"/>
            <color indexed="81"/>
            <rFont val="Tahoma"/>
            <family val="2"/>
            <charset val="238"/>
          </rPr>
          <t>1.6.2017-15.9.2017</t>
        </r>
      </text>
    </comment>
    <comment ref="AA4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19.5.-31.12.2017
</t>
        </r>
      </text>
    </comment>
    <comment ref="AB4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19.5.-31.12.2017
</t>
        </r>
      </text>
    </comment>
    <comment ref="O44" authorId="0" shapeId="0">
      <text>
        <r>
          <rPr>
            <b/>
            <sz val="9"/>
            <color indexed="81"/>
            <rFont val="Tahoma"/>
            <family val="2"/>
            <charset val="238"/>
          </rPr>
          <t>6.6.-3.7.2017</t>
        </r>
      </text>
    </comment>
    <comment ref="Q44" authorId="0" shapeId="0">
      <text>
        <r>
          <rPr>
            <b/>
            <sz val="9"/>
            <color indexed="81"/>
            <rFont val="Tahoma"/>
            <family val="2"/>
            <charset val="238"/>
          </rPr>
          <t>4.7.-7.8.2017</t>
        </r>
      </text>
    </comment>
    <comment ref="R44" authorId="0" shapeId="0">
      <text>
        <r>
          <rPr>
            <b/>
            <sz val="9"/>
            <color indexed="81"/>
            <rFont val="Tahoma"/>
            <family val="2"/>
            <charset val="238"/>
          </rPr>
          <t>4.7.-7.8.2017</t>
        </r>
      </text>
    </comment>
    <comment ref="O45" authorId="0" shapeId="0">
      <text>
        <r>
          <rPr>
            <b/>
            <sz val="9"/>
            <color indexed="81"/>
            <rFont val="Tahoma"/>
            <family val="2"/>
            <charset val="238"/>
          </rPr>
          <t>4.7.-7.8.2017</t>
        </r>
      </text>
    </comment>
    <comment ref="Q45" authorId="0" shapeId="0">
      <text>
        <r>
          <rPr>
            <b/>
            <sz val="9"/>
            <color indexed="81"/>
            <rFont val="Tahoma"/>
            <family val="2"/>
            <charset val="238"/>
          </rPr>
          <t>8.8.-4.9.2017</t>
        </r>
      </text>
    </comment>
    <comment ref="R45" authorId="0" shapeId="0">
      <text>
        <r>
          <rPr>
            <b/>
            <sz val="9"/>
            <color indexed="81"/>
            <rFont val="Tahoma"/>
            <family val="2"/>
            <charset val="238"/>
          </rPr>
          <t>8.8.-4.9.2017</t>
        </r>
      </text>
    </comment>
    <comment ref="O46" authorId="0" shapeId="0">
      <text>
        <r>
          <rPr>
            <b/>
            <sz val="9"/>
            <color indexed="81"/>
            <rFont val="Tahoma"/>
            <family val="2"/>
            <charset val="238"/>
          </rPr>
          <t>8.8.-4.9.2017</t>
        </r>
      </text>
    </comment>
    <comment ref="Q46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R46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O47" authorId="0" shapeId="0">
      <text>
        <r>
          <rPr>
            <b/>
            <sz val="9"/>
            <color indexed="81"/>
            <rFont val="Tahoma"/>
            <family val="2"/>
            <charset val="238"/>
          </rPr>
          <t>5.9.-2.10.2017</t>
        </r>
      </text>
    </comment>
    <comment ref="Q47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R47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V47" authorId="0" shapeId="0">
      <text>
        <r>
          <rPr>
            <b/>
            <sz val="9"/>
            <color indexed="81"/>
            <rFont val="Tahoma"/>
            <family val="2"/>
            <charset val="238"/>
          </rPr>
          <t>16.9.2017-31.12.2017</t>
        </r>
      </text>
    </comment>
    <comment ref="O48" authorId="0" shapeId="0">
      <text>
        <r>
          <rPr>
            <b/>
            <sz val="9"/>
            <color indexed="81"/>
            <rFont val="Tahoma"/>
            <family val="2"/>
            <charset val="238"/>
          </rPr>
          <t>3.10.-6.11.2017</t>
        </r>
      </text>
    </comment>
    <comment ref="Q48" authorId="0" shapeId="0">
      <text>
        <r>
          <rPr>
            <b/>
            <sz val="9"/>
            <color indexed="81"/>
            <rFont val="Tahoma"/>
            <family val="2"/>
            <charset val="238"/>
          </rPr>
          <t>7.11.-31.12.2017</t>
        </r>
      </text>
    </comment>
    <comment ref="R48" authorId="0" shapeId="0">
      <text>
        <r>
          <rPr>
            <b/>
            <sz val="9"/>
            <color indexed="81"/>
            <rFont val="Tahoma"/>
            <family val="2"/>
            <charset val="238"/>
          </rPr>
          <t>7.11.-31.12.2017</t>
        </r>
      </text>
    </comment>
    <comment ref="O49" authorId="0" shapeId="0">
      <text>
        <r>
          <rPr>
            <b/>
            <sz val="9"/>
            <color indexed="81"/>
            <rFont val="Tahoma"/>
            <family val="2"/>
            <charset val="238"/>
          </rPr>
          <t>7.11.-31.12.2017</t>
        </r>
      </text>
    </comment>
    <comment ref="Q54" authorId="0" shapeId="0">
      <text>
        <r>
          <rPr>
            <b/>
            <sz val="9"/>
            <color indexed="81"/>
            <rFont val="Tahoma"/>
            <family val="2"/>
            <charset val="238"/>
          </rPr>
          <t>1.1.-5.2.2018</t>
        </r>
      </text>
    </comment>
    <comment ref="R54" authorId="0" shapeId="0">
      <text>
        <r>
          <rPr>
            <b/>
            <sz val="9"/>
            <color indexed="81"/>
            <rFont val="Tahoma"/>
            <family val="2"/>
            <charset val="238"/>
          </rPr>
          <t>1.1.-5.2.2018</t>
        </r>
      </text>
    </comment>
    <comment ref="Q55" authorId="0" shapeId="0">
      <text>
        <r>
          <rPr>
            <b/>
            <sz val="9"/>
            <color indexed="81"/>
            <rFont val="Tahoma"/>
            <family val="2"/>
            <charset val="238"/>
          </rPr>
          <t>6.2.-5.3.2018</t>
        </r>
      </text>
    </comment>
    <comment ref="R55" authorId="0" shapeId="0">
      <text>
        <r>
          <rPr>
            <b/>
            <sz val="9"/>
            <color indexed="81"/>
            <rFont val="Tahoma"/>
            <family val="2"/>
            <charset val="238"/>
          </rPr>
          <t>6.2.-5.3.2018</t>
        </r>
      </text>
    </comment>
    <comment ref="Q56" authorId="0" shapeId="0">
      <text>
        <r>
          <rPr>
            <b/>
            <sz val="9"/>
            <color indexed="81"/>
            <rFont val="Tahoma"/>
            <family val="2"/>
            <charset val="238"/>
          </rPr>
          <t>6.3.-30.4.2018</t>
        </r>
      </text>
    </comment>
    <comment ref="R56" authorId="0" shapeId="0">
      <text>
        <r>
          <rPr>
            <b/>
            <sz val="9"/>
            <color indexed="81"/>
            <rFont val="Tahoma"/>
            <family val="2"/>
            <charset val="238"/>
          </rPr>
          <t>6.3.-30.4.2018</t>
        </r>
      </text>
    </comment>
    <comment ref="AC71" authorId="0" shapeId="0">
      <text>
        <r>
          <rPr>
            <b/>
            <sz val="9"/>
            <color indexed="81"/>
            <rFont val="Tahoma"/>
            <family val="2"/>
            <charset val="238"/>
          </rPr>
          <t>nový plynoměr od 19.5.</t>
        </r>
      </text>
    </comment>
  </commentList>
</comments>
</file>

<file path=xl/sharedStrings.xml><?xml version="1.0" encoding="utf-8"?>
<sst xmlns="http://schemas.openxmlformats.org/spreadsheetml/2006/main" count="861" uniqueCount="267">
  <si>
    <t>GJ</t>
  </si>
  <si>
    <t>Kč</t>
  </si>
  <si>
    <t>kWh</t>
  </si>
  <si>
    <t>celkem</t>
  </si>
  <si>
    <t>m3</t>
  </si>
  <si>
    <t>ELEKTŘINA</t>
  </si>
  <si>
    <t>vytápění</t>
  </si>
  <si>
    <t>Kč bez DPH</t>
  </si>
  <si>
    <t>Kč vč. DPH</t>
  </si>
  <si>
    <t>TEPLO</t>
  </si>
  <si>
    <t>ZEMNÍ PLYN</t>
  </si>
  <si>
    <t>VODA</t>
  </si>
  <si>
    <t>množství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</si>
  <si>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</si>
  <si>
    <t>platba</t>
  </si>
  <si>
    <t>OSTATNÍ PROVOZNÍ NÁKLADY</t>
  </si>
  <si>
    <t>REFERENČNÍ SPOTŘEBY</t>
  </si>
  <si>
    <t>DPH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</si>
  <si>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</si>
  <si>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</si>
  <si>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</si>
  <si>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</si>
  <si>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</si>
  <si>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</si>
  <si>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</si>
  <si>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</si>
  <si>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</si>
  <si>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</si>
  <si>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</si>
  <si>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</si>
  <si>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</si>
  <si>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Ʃ</t>
  </si>
  <si>
    <t>-</t>
  </si>
  <si>
    <t>SPOTŘEBY DLE FAKTUR</t>
  </si>
  <si>
    <t>Platby s DPH</t>
  </si>
  <si>
    <t>Poznámky k referenčnímu roku</t>
  </si>
  <si>
    <t>Všechny budovy</t>
  </si>
  <si>
    <t>Kč s DPH</t>
  </si>
  <si>
    <r>
      <t>m</t>
    </r>
    <r>
      <rPr>
        <i/>
        <vertAlign val="superscript"/>
        <sz val="8"/>
        <color theme="1"/>
        <rFont val="Calibri"/>
        <family val="2"/>
        <charset val="238"/>
        <scheme val="minor"/>
      </rPr>
      <t>3</t>
    </r>
  </si>
  <si>
    <t>Tabulka 1</t>
  </si>
  <si>
    <t>objekt č.</t>
  </si>
  <si>
    <t>název</t>
  </si>
  <si>
    <t>Investice celkem        (Kč bez DPH)</t>
  </si>
  <si>
    <t>název opatření</t>
  </si>
  <si>
    <t>Opatření 1</t>
  </si>
  <si>
    <t>Opatření 2</t>
  </si>
  <si>
    <t>Opatření 3</t>
  </si>
  <si>
    <t>Opatření 4</t>
  </si>
  <si>
    <t>Opatření 5</t>
  </si>
  <si>
    <t>Opatření 6</t>
  </si>
  <si>
    <t>Opatření 7</t>
  </si>
  <si>
    <t>Opatření 8</t>
  </si>
  <si>
    <t>Opatření 9</t>
  </si>
  <si>
    <t>Opatření 10</t>
  </si>
  <si>
    <t>Opatření 11</t>
  </si>
  <si>
    <t>Opatření 12</t>
  </si>
  <si>
    <t>Opatření 13</t>
  </si>
  <si>
    <t>Opatření 14</t>
  </si>
  <si>
    <t>Opatření 15</t>
  </si>
  <si>
    <t>Opatření 16</t>
  </si>
  <si>
    <t>Opatření 17</t>
  </si>
  <si>
    <t>Opatření 18</t>
  </si>
  <si>
    <t>Opatření 19</t>
  </si>
  <si>
    <t>Opatření 20</t>
  </si>
  <si>
    <t>možno přidat sloupce vložením dalšího řádku mezi stávající sloupce</t>
  </si>
  <si>
    <t>vyplnit --&gt;</t>
  </si>
  <si>
    <t>Celkem</t>
  </si>
  <si>
    <t>Tabulka 2</t>
  </si>
  <si>
    <t>Úspora z jednotlivých opatření v Kč/rok bez DPH (modelový rok)</t>
  </si>
  <si>
    <t>Úspora celkem        (Kč/rok bez DPH)</t>
  </si>
  <si>
    <t>Ostatní provozní náklady</t>
  </si>
  <si>
    <t>Tabulka 3</t>
  </si>
  <si>
    <t xml:space="preserve">název </t>
  </si>
  <si>
    <t>Zemní plyn</t>
  </si>
  <si>
    <t>Teplo</t>
  </si>
  <si>
    <t>Elektřina</t>
  </si>
  <si>
    <t>Voda</t>
  </si>
  <si>
    <t>(kWh/rok)</t>
  </si>
  <si>
    <t>Tabulka 4</t>
  </si>
  <si>
    <t>Úspora v Kč/rok bez DPH (modelový rok)</t>
  </si>
  <si>
    <t>Ost. náklady</t>
  </si>
  <si>
    <t>kontrola</t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</si>
  <si>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/rok)</t>
    </r>
  </si>
  <si>
    <t>Roky poskytnuté záruky</t>
  </si>
  <si>
    <t>celkem za počet let hodnocení</t>
  </si>
  <si>
    <t>řádek</t>
  </si>
  <si>
    <t>Elektrická energie [kWh]</t>
  </si>
  <si>
    <t>Zemní plyn [kWh]</t>
  </si>
  <si>
    <t>Voda [m3]</t>
  </si>
  <si>
    <t>Elektrická energie [Kč bez DPH]</t>
  </si>
  <si>
    <t>Zemní plyn [Kč bez DPH]</t>
  </si>
  <si>
    <t>Tepelná energie [Kč bez DPH]</t>
  </si>
  <si>
    <t>Voda [Kč bez DPH]</t>
  </si>
  <si>
    <t>Ostatní provozní náklady [Kč bez DPH]</t>
  </si>
  <si>
    <t>A = 5 + 6 + 7 + 8 + 9</t>
  </si>
  <si>
    <t>A</t>
  </si>
  <si>
    <t>po realizaci</t>
  </si>
  <si>
    <t>úspora</t>
  </si>
  <si>
    <t>B = 14 + 15 + 16 +17 +18</t>
  </si>
  <si>
    <t>B</t>
  </si>
  <si>
    <t>C - Výše zaručených úspor [Kč bez DPH]</t>
  </si>
  <si>
    <t>C = A - B</t>
  </si>
  <si>
    <t>C</t>
  </si>
  <si>
    <t>D</t>
  </si>
  <si>
    <t>kontrola (musí souhlasit s Tabulkou 1 v předchozím listu)</t>
  </si>
  <si>
    <t>E – Ostatní náklady na dosažení úspor( finanční, služby atd.) v jednotlivých letech kontraktu [Kč bez DPH]</t>
  </si>
  <si>
    <t>financování zakázky (úvěr)</t>
  </si>
  <si>
    <t>energetický management</t>
  </si>
  <si>
    <t>ostatní služby</t>
  </si>
  <si>
    <t>E</t>
  </si>
  <si>
    <t>F</t>
  </si>
  <si>
    <t>H</t>
  </si>
  <si>
    <t xml:space="preserve">(v případě kladné hodnoty se jedná o "spoluúčast zadavatele") </t>
  </si>
  <si>
    <t xml:space="preserve">(v případě záporné hodnoty se jedná o "nadúsporu") </t>
  </si>
  <si>
    <t xml:space="preserve">Kč </t>
  </si>
  <si>
    <t>Cena celkem (včetně DPH)</t>
  </si>
  <si>
    <t>DPH:</t>
  </si>
  <si>
    <t>Cena celkem (bez DPH)</t>
  </si>
  <si>
    <t>4. CELKOVÁ CENA</t>
  </si>
  <si>
    <t>Cena za další služby celkem (včetně DPH)</t>
  </si>
  <si>
    <t>Cena za další služby celkem (bez DPH)</t>
  </si>
  <si>
    <t>cena za případné další služby (bez DPH)</t>
  </si>
  <si>
    <t>cena za výkon energetického managementu (bez DPH)</t>
  </si>
  <si>
    <t>3. CENA ZA DALŠÍ SLUŽBY</t>
  </si>
  <si>
    <r>
      <t>Cena za poskytnutí dodavatelského úvěru</t>
    </r>
    <r>
      <rPr>
        <i/>
        <sz val="10"/>
        <color theme="1"/>
        <rFont val="Calibri"/>
        <family val="2"/>
        <charset val="238"/>
        <scheme val="minor"/>
      </rPr>
      <t xml:space="preserve"> (nepodlého DPH)</t>
    </r>
  </si>
  <si>
    <t>2. CENA ZA ZAJIŠTĚNÍ FINANCOVÁNÍ ZAKÁZKY</t>
  </si>
  <si>
    <t>Cena za realizaci úsporných opatření celkem (včetně DPH)</t>
  </si>
  <si>
    <t>Cena za realizaci úsporných opatření celkem (bez DPH)</t>
  </si>
  <si>
    <t>1. CENA ZA REALIZACI ÚSPORNÝCH OPATŘENÍ</t>
  </si>
  <si>
    <t>níže nevyplňovat,  automaticky se načítá z předchozího listu</t>
  </si>
  <si>
    <t xml:space="preserve">  &lt; -- vyplnit</t>
  </si>
  <si>
    <t>nabídková hodnota</t>
  </si>
  <si>
    <t>(Kč bez DPH)</t>
  </si>
  <si>
    <t>(procento)</t>
  </si>
  <si>
    <t>Výše zaručených úspor</t>
  </si>
  <si>
    <t>SOUHRN JEDNOTLIVÝCH HODNOTÍCÍCH KRITÉRIÍ</t>
  </si>
  <si>
    <r>
      <t>Voda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</si>
  <si>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CELKOVÉ NÁKLADY</t>
  </si>
  <si>
    <t>F - Nabídková cena [Kč bez DPH]</t>
  </si>
  <si>
    <t>(GJ/rok)</t>
  </si>
  <si>
    <r>
      <t>Úspora z jednotlivých opatření v kWh/rok, GJ/rok, resp. 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 (modelový rok)</t>
    </r>
  </si>
  <si>
    <t>Tepelná energie [GJ]</t>
  </si>
  <si>
    <t>E = 19 + 20 + 21</t>
  </si>
  <si>
    <t>TV</t>
  </si>
  <si>
    <t>vytápění + TV</t>
  </si>
  <si>
    <t>Nabídková cena</t>
  </si>
  <si>
    <t>F = D + E</t>
  </si>
  <si>
    <t>Celková výše zaručených úspor (hodnocení - kritérium 2)</t>
  </si>
  <si>
    <t>Cena za financování zakázky (dokument 5e - Povinná cenová příloha - položka 2)</t>
  </si>
  <si>
    <t>Celková nabídková cena (hodnocení  - kritérium 1, dokument 5e - Povinná cenová příloha - položka 4)</t>
  </si>
  <si>
    <t>POVINNÁ CENOVÁ PŘÍLOHA - PODKLAD PRO VYPLNĚNÍ</t>
  </si>
  <si>
    <t>Kč/GJ</t>
  </si>
  <si>
    <t>JEDNOTKOVÉ NÁKLADY [Kč bez DPH]</t>
  </si>
  <si>
    <t>Kč/kWh</t>
  </si>
  <si>
    <r>
      <t>Kč/m</t>
    </r>
    <r>
      <rPr>
        <vertAlign val="superscript"/>
        <sz val="11"/>
        <color theme="0" tint="-0.499984740745262"/>
        <rFont val="Calibri"/>
        <family val="2"/>
        <charset val="238"/>
        <scheme val="minor"/>
      </rPr>
      <t>3</t>
    </r>
  </si>
  <si>
    <t>KLIMADATA</t>
  </si>
  <si>
    <t>oblast:</t>
  </si>
  <si>
    <t>ti:</t>
  </si>
  <si>
    <t>°C</t>
  </si>
  <si>
    <t>Měsíc</t>
  </si>
  <si>
    <t>te</t>
  </si>
  <si>
    <t>d</t>
  </si>
  <si>
    <t>°D</t>
  </si>
  <si>
    <t>%</t>
  </si>
  <si>
    <t>Liberec</t>
  </si>
  <si>
    <t>náklady na realizaci opatření</t>
  </si>
  <si>
    <t>B - Zaručená spotřeba energie v technických jednotkách a náklady na spotřebu energie a ostatní náklady po dobu trvání kontraktu [GJ, kWh, m3, Kč bez DPH]</t>
  </si>
  <si>
    <r>
      <t>A - Výchozí spotřeba energie v technických jednotkách a náklady na spotřebu energie po dobu trvání kontraktu [GJ, kWh, m</t>
    </r>
    <r>
      <rPr>
        <b/>
        <i/>
        <vertAlign val="superscript"/>
        <sz val="10"/>
        <rFont val="Calibri"/>
        <family val="2"/>
        <charset val="238"/>
        <scheme val="minor"/>
      </rPr>
      <t>3</t>
    </r>
    <r>
      <rPr>
        <b/>
        <i/>
        <sz val="10"/>
        <rFont val="Calibri"/>
        <family val="2"/>
        <charset val="238"/>
        <scheme val="minor"/>
      </rPr>
      <t>, Kč bez DPH]</t>
    </r>
  </si>
  <si>
    <t>úspory vykazované dle IPMVM/var. C [Kč bez DPH]</t>
  </si>
  <si>
    <t>Podíl úspor prokazovaných měřením na celkovém objemu úspor (hodnocení - kritérium 4)</t>
  </si>
  <si>
    <t>H = F - C</t>
  </si>
  <si>
    <t>H- Rozdíl celkové nabídkové ceny a celkových zaručených úspor [Kč bez DPH]</t>
  </si>
  <si>
    <t>G = 22 / C</t>
  </si>
  <si>
    <t>Cena za výkon eneregtického managementu (dokument 5e - Povinná cenová příloha - položka 3a)</t>
  </si>
  <si>
    <t>Cena za případné další služby (dokument 5e - Povinná cenová příloha - položka 3b)</t>
  </si>
  <si>
    <t>2018 (2019)</t>
  </si>
  <si>
    <t>Rozdíl celkové nabídkové ceny a celkových zaručených úspor</t>
  </si>
  <si>
    <t>Výše investičních nákladů</t>
  </si>
  <si>
    <t>D – Cena za realizaci úsporných opatření v jednotlivých letech kontraktu [Kč bez DPH]</t>
  </si>
  <si>
    <t>Cena za realizaci jednotlivých opatření v Kč bez DPH</t>
  </si>
  <si>
    <t>Výše investičních nákladů (hodnocení - kritérium 3, dokument 5e - Povinná cenová příloha - položka 1)</t>
  </si>
  <si>
    <t>celkem 1.elektroměr</t>
  </si>
  <si>
    <t>celkem 2.elektroměr</t>
  </si>
  <si>
    <t>celkem 1.vodoměr</t>
  </si>
  <si>
    <t>celkem 1.plynoměr</t>
  </si>
  <si>
    <t>celkem 2.plynoměr</t>
  </si>
  <si>
    <t>Zámek 1, 543 01 Vrchlabí</t>
  </si>
  <si>
    <t>GJ celkem</t>
  </si>
  <si>
    <t>kWh - VT</t>
  </si>
  <si>
    <t>VT+NT</t>
  </si>
  <si>
    <t>Vodné</t>
  </si>
  <si>
    <t>Stočné</t>
  </si>
  <si>
    <t>Kč bez DPH, VO</t>
  </si>
  <si>
    <t>kWh po měs</t>
  </si>
  <si>
    <t>pouze vodné všude</t>
  </si>
  <si>
    <t>odběrné místo</t>
  </si>
  <si>
    <t>číslo odb místa</t>
  </si>
  <si>
    <t>0000 887 850</t>
  </si>
  <si>
    <t>0000 887 856</t>
  </si>
  <si>
    <t>číslo elektroměru</t>
  </si>
  <si>
    <t>101 315 47</t>
  </si>
  <si>
    <t>101 321 02</t>
  </si>
  <si>
    <t>vodoměr</t>
  </si>
  <si>
    <t>313 160 19</t>
  </si>
  <si>
    <t>číslo plynoměru</t>
  </si>
  <si>
    <t>574 78 50</t>
  </si>
  <si>
    <t>číslo odběrného místa</t>
  </si>
  <si>
    <t>000 100 10</t>
  </si>
  <si>
    <t>506 89 32</t>
  </si>
  <si>
    <t>celkem 2.elektroměr - Krkonošská 10</t>
  </si>
  <si>
    <t>celkem vodoměr</t>
  </si>
  <si>
    <t>Krkonošská 8, 543 01 Vrchlabí</t>
  </si>
  <si>
    <t>Kč bez DPH VO+ST</t>
  </si>
  <si>
    <t>MWh</t>
  </si>
  <si>
    <t>0000 691 083</t>
  </si>
  <si>
    <t>101 343 57</t>
  </si>
  <si>
    <t>101 333 54</t>
  </si>
  <si>
    <t>323 585 71</t>
  </si>
  <si>
    <t>312 666 84</t>
  </si>
  <si>
    <t>0501 04 10</t>
  </si>
  <si>
    <t>celkem 1. vodoměr</t>
  </si>
  <si>
    <t>celkem 2. vodoměr</t>
  </si>
  <si>
    <t>Nám, Míru 283, 543 01 Vrchlabí = 5.května 284</t>
  </si>
  <si>
    <t>kWh - NT</t>
  </si>
  <si>
    <t>101 408 85</t>
  </si>
  <si>
    <t>101 315 60</t>
  </si>
  <si>
    <t>229 91 91</t>
  </si>
  <si>
    <t>654 37 22</t>
  </si>
  <si>
    <t>260 32 50</t>
  </si>
  <si>
    <t>404 74 97</t>
  </si>
  <si>
    <t>00 160 130</t>
  </si>
  <si>
    <t>00 160 140</t>
  </si>
  <si>
    <t>724 85 08</t>
  </si>
  <si>
    <t>celkem 1.elektroměr škola</t>
  </si>
  <si>
    <t>celkem 2.elektroměr škola</t>
  </si>
  <si>
    <t>byt ve škole / sborovna</t>
  </si>
  <si>
    <t>Školní 1336, 543 01 Vrchlabí</t>
  </si>
  <si>
    <t>0 102 044 252</t>
  </si>
  <si>
    <t>000 112 6429</t>
  </si>
  <si>
    <t>977 514 80</t>
  </si>
  <si>
    <t>977 514 81</t>
  </si>
  <si>
    <t>120 963 92</t>
  </si>
  <si>
    <t>231 229 15</t>
  </si>
  <si>
    <t>00 141 880</t>
  </si>
  <si>
    <t>celkem 1.elektroměr - byt/spec třída</t>
  </si>
  <si>
    <t>celkem 2.elektroměr - mateřská škola</t>
  </si>
  <si>
    <t>Letná 1249, 543 01 Vrchlabí</t>
  </si>
  <si>
    <t>0000 658 223</t>
  </si>
  <si>
    <t>0000 658 220</t>
  </si>
  <si>
    <t>900 132 79</t>
  </si>
  <si>
    <t>900 220 58</t>
  </si>
  <si>
    <t>970 15 43</t>
  </si>
  <si>
    <t>403 75 59</t>
  </si>
  <si>
    <t>000 115 50</t>
  </si>
  <si>
    <t>5891 006</t>
  </si>
  <si>
    <t>Radnice č.p. 8</t>
  </si>
  <si>
    <t>Zámek č.p. 1</t>
  </si>
  <si>
    <t>ZŠ Nám. Míru</t>
  </si>
  <si>
    <t>ZŠ Školní</t>
  </si>
  <si>
    <t>MŠ Letná</t>
  </si>
  <si>
    <t>spotřeba</t>
  </si>
  <si>
    <t>NÁKLADY CELKEM</t>
  </si>
  <si>
    <t>G</t>
  </si>
  <si>
    <t xml:space="preserve">Podíl úspor prokazovaných na základě měření spotřeby celého objektu, resp. objektů, k celkovému objemu úspor </t>
  </si>
  <si>
    <t>rok 2017</t>
  </si>
  <si>
    <t>https://vytapeni.tzb-info.cz/tabulky-a-vypocty/103-vypocet-denostupnu?stanice=17&amp;otopne_obdobi=&amp;start_day=01&amp;start_month=01&amp;start_year=2017&amp;end_day=31&amp;end_month=12&amp;end_year=2017&amp;ti=19.0&amp;tem=13.0&amp;btn_submit=Vypo%E8%EDtat+a+zobrazit&amp;chkbox_sumtbl=1&amp;chkbox_deg=1&amp;chkbox_dnu=1&amp;chkbox_prumerne_teploty=1&amp;deg_x=740&amp;deg_y=270&amp;otop_dny_x=740&amp;otop_dny_y=270&amp;prum_teploty_x=740&amp;prum_teploty_y=270</t>
  </si>
  <si>
    <t>G - Podíl úspor prokazovaných na základě měření spotřeby celého objektu/objektů k celkovému objemu úspor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</si>
</sst>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%"/>
    <numFmt numFmtId="165" formatCode="0.0"/>
    <numFmt numFmtId="166" formatCode="#,##0.0"/>
    <numFmt numFmtId="167" formatCode="#,##0.000"/>
    <numFmt numFmtId="168" formatCode="#,##0\ &quot;Kč&quot;"/>
    <numFmt numFmtId="169" formatCode="0,000&quot; kWh&quot;"/>
    <numFmt numFmtId="170" formatCode="#,##0.00\ &quot;Kč&quot;"/>
    <numFmt numFmtId="171" formatCode="#,##0.000\ &quot;Kč&quot;"/>
    <numFmt numFmtId="173" formatCode="0.000"/>
  </numFmts>
  <fonts count="7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color theme="2" tint="-0.74999237037263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b/>
      <sz val="10"/>
      <color theme="0" tint="-0.249977111117893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i/>
      <sz val="11"/>
      <color theme="0" tint="-0.249977111117893"/>
      <name val="Calibri"/>
      <family val="2"/>
      <charset val="238"/>
      <scheme val="minor"/>
    </font>
    <font>
      <b/>
      <i/>
      <sz val="10"/>
      <color theme="0" tint="-0.249977111117893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i/>
      <vertAlign val="superscript"/>
      <sz val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0" tint="-0.499984740745262"/>
      <name val="Calibri"/>
      <family val="2"/>
      <charset val="238"/>
      <scheme val="minor"/>
    </font>
    <font>
      <vertAlign val="superscript"/>
      <sz val="11"/>
      <color theme="0" tint="-0.499984740745262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2" tint="-0.74999237037263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0" fontId="3" fillId="0" borderId="0"/>
    <xf numFmtId="9" fontId="2" fillId="0" borderId="0" applyFont="0" applyFill="0" applyBorder="0" applyAlignment="0" applyProtection="0"/>
    <xf numFmtId="0" fontId="36" fillId="0" borderId="0"/>
    <xf numFmtId="0" fontId="40" fillId="0" borderId="0"/>
    <xf numFmtId="9" fontId="36" fillId="0" borderId="0" applyFont="0" applyFill="0" applyBorder="0" applyAlignment="0" applyProtection="0"/>
    <xf numFmtId="0" fontId="63" fillId="0" borderId="0"/>
    <xf numFmtId="0" fontId="63" fillId="0" borderId="0"/>
    <xf numFmtId="0" fontId="63" fillId="0" borderId="0"/>
    <xf numFmtId="0" fontId="76" fillId="0" borderId="0" applyNumberFormat="0" applyFill="0" applyBorder="0" applyAlignment="0" applyProtection="0"/>
  </cellStyleXfs>
  <cellXfs count="666">
    <xf numFmtId="0" fontId="0" fillId="0" borderId="0" xfId="0"/>
    <xf numFmtId="0" fontId="11" fillId="0" borderId="0" xfId="0" applyFont="1"/>
    <xf numFmtId="0" fontId="1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7" fillId="5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3" fontId="18" fillId="5" borderId="17" xfId="0" applyNumberFormat="1" applyFont="1" applyFill="1" applyBorder="1" applyAlignment="1">
      <alignment horizontal="right" vertical="center"/>
    </xf>
    <xf numFmtId="0" fontId="18" fillId="5" borderId="17" xfId="0" applyFont="1" applyFill="1" applyBorder="1" applyAlignment="1">
      <alignment horizontal="right" vertical="center"/>
    </xf>
    <xf numFmtId="3" fontId="18" fillId="7" borderId="17" xfId="0" applyNumberFormat="1" applyFont="1" applyFill="1" applyBorder="1" applyAlignment="1">
      <alignment horizontal="right" vertical="center"/>
    </xf>
    <xf numFmtId="0" fontId="18" fillId="7" borderId="17" xfId="0" applyFont="1" applyFill="1" applyBorder="1" applyAlignment="1">
      <alignment horizontal="right" vertical="center"/>
    </xf>
    <xf numFmtId="3" fontId="18" fillId="6" borderId="17" xfId="0" applyNumberFormat="1" applyFont="1" applyFill="1" applyBorder="1" applyAlignment="1">
      <alignment horizontal="right" vertical="center"/>
    </xf>
    <xf numFmtId="0" fontId="18" fillId="6" borderId="17" xfId="0" applyFont="1" applyFill="1" applyBorder="1" applyAlignment="1">
      <alignment horizontal="right" vertical="center"/>
    </xf>
    <xf numFmtId="3" fontId="18" fillId="4" borderId="17" xfId="0" applyNumberFormat="1" applyFont="1" applyFill="1" applyBorder="1" applyAlignment="1">
      <alignment horizontal="right" vertical="center"/>
    </xf>
    <xf numFmtId="0" fontId="18" fillId="4" borderId="17" xfId="0" applyFont="1" applyFill="1" applyBorder="1" applyAlignment="1">
      <alignment horizontal="right" vertical="center"/>
    </xf>
    <xf numFmtId="0" fontId="18" fillId="8" borderId="17" xfId="0" applyFont="1" applyFill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9" fontId="19" fillId="3" borderId="0" xfId="2" applyFont="1" applyFill="1" applyAlignment="1">
      <alignment vertical="center"/>
    </xf>
    <xf numFmtId="0" fontId="17" fillId="3" borderId="17" xfId="0" applyFont="1" applyFill="1" applyBorder="1" applyAlignment="1">
      <alignment vertical="center"/>
    </xf>
    <xf numFmtId="0" fontId="14" fillId="3" borderId="0" xfId="0" applyFont="1" applyFill="1" applyAlignment="1">
      <alignment vertical="center"/>
    </xf>
    <xf numFmtId="3" fontId="17" fillId="3" borderId="0" xfId="0" applyNumberFormat="1" applyFont="1" applyFill="1" applyAlignment="1">
      <alignment vertical="center"/>
    </xf>
    <xf numFmtId="0" fontId="14" fillId="3" borderId="17" xfId="0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0" fontId="14" fillId="3" borderId="17" xfId="0" applyFont="1" applyFill="1" applyBorder="1" applyAlignment="1">
      <alignment horizontal="right" vertical="center" indent="1"/>
    </xf>
    <xf numFmtId="9" fontId="21" fillId="3" borderId="17" xfId="2" applyFont="1" applyFill="1" applyBorder="1" applyAlignment="1">
      <alignment vertical="center"/>
    </xf>
    <xf numFmtId="0" fontId="21" fillId="3" borderId="17" xfId="0" applyFont="1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3" borderId="17" xfId="0" applyFont="1" applyFill="1" applyBorder="1" applyAlignment="1">
      <alignment vertical="center"/>
    </xf>
    <xf numFmtId="3" fontId="18" fillId="5" borderId="17" xfId="0" applyNumberFormat="1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3" fontId="18" fillId="6" borderId="17" xfId="0" applyNumberFormat="1" applyFont="1" applyFill="1" applyBorder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4" fillId="3" borderId="0" xfId="1" applyFont="1" applyFill="1" applyAlignment="1">
      <alignment vertical="center"/>
    </xf>
    <xf numFmtId="0" fontId="5" fillId="3" borderId="0" xfId="1" applyFont="1" applyFill="1" applyBorder="1" applyAlignment="1">
      <alignment vertical="center"/>
    </xf>
    <xf numFmtId="0" fontId="16" fillId="3" borderId="0" xfId="1" applyFont="1" applyFill="1" applyAlignment="1">
      <alignment vertical="center"/>
    </xf>
    <xf numFmtId="0" fontId="14" fillId="3" borderId="0" xfId="0" applyFont="1" applyFill="1" applyBorder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17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left" vertical="center"/>
    </xf>
    <xf numFmtId="3" fontId="5" fillId="3" borderId="0" xfId="1" applyNumberFormat="1" applyFont="1" applyFill="1" applyBorder="1" applyAlignment="1">
      <alignment vertical="center"/>
    </xf>
    <xf numFmtId="3" fontId="8" fillId="3" borderId="17" xfId="1" applyNumberFormat="1" applyFont="1" applyFill="1" applyBorder="1" applyAlignment="1">
      <alignment vertical="center"/>
    </xf>
    <xf numFmtId="3" fontId="25" fillId="3" borderId="0" xfId="1" applyNumberFormat="1" applyFont="1" applyFill="1" applyAlignment="1">
      <alignment vertical="center"/>
    </xf>
    <xf numFmtId="3" fontId="28" fillId="3" borderId="0" xfId="1" applyNumberFormat="1" applyFont="1" applyFill="1" applyAlignment="1">
      <alignment horizontal="left" vertical="center"/>
    </xf>
    <xf numFmtId="3" fontId="28" fillId="3" borderId="0" xfId="1" applyNumberFormat="1" applyFont="1" applyFill="1" applyAlignment="1">
      <alignment vertical="center"/>
    </xf>
    <xf numFmtId="3" fontId="28" fillId="3" borderId="0" xfId="1" applyNumberFormat="1" applyFont="1" applyFill="1" applyBorder="1" applyAlignment="1">
      <alignment vertical="center"/>
    </xf>
    <xf numFmtId="0" fontId="24" fillId="3" borderId="17" xfId="1" applyNumberFormat="1" applyFont="1" applyFill="1" applyBorder="1" applyAlignment="1">
      <alignment horizontal="left" vertical="center"/>
    </xf>
    <xf numFmtId="9" fontId="26" fillId="3" borderId="17" xfId="2" applyFont="1" applyFill="1" applyBorder="1" applyAlignment="1">
      <alignment vertical="center"/>
    </xf>
    <xf numFmtId="3" fontId="27" fillId="3" borderId="17" xfId="1" applyNumberFormat="1" applyFont="1" applyFill="1" applyBorder="1" applyAlignment="1">
      <alignment vertical="center"/>
    </xf>
    <xf numFmtId="9" fontId="27" fillId="3" borderId="17" xfId="2" applyFont="1" applyFill="1" applyBorder="1" applyAlignment="1">
      <alignment vertical="center"/>
    </xf>
    <xf numFmtId="3" fontId="4" fillId="3" borderId="17" xfId="1" applyNumberFormat="1" applyFont="1" applyFill="1" applyBorder="1" applyAlignment="1">
      <alignment horizontal="right" vertical="center"/>
    </xf>
    <xf numFmtId="0" fontId="6" fillId="3" borderId="0" xfId="1" applyFont="1" applyFill="1" applyAlignment="1">
      <alignment vertical="center"/>
    </xf>
    <xf numFmtId="0" fontId="8" fillId="3" borderId="0" xfId="1" applyFont="1" applyFill="1" applyAlignment="1">
      <alignment vertical="center"/>
    </xf>
    <xf numFmtId="3" fontId="4" fillId="3" borderId="0" xfId="1" applyNumberFormat="1" applyFont="1" applyFill="1" applyBorder="1" applyAlignment="1">
      <alignment horizontal="right" vertical="center"/>
    </xf>
    <xf numFmtId="0" fontId="14" fillId="3" borderId="0" xfId="0" applyFont="1" applyFill="1" applyAlignment="1">
      <alignment horizontal="center" vertical="center"/>
    </xf>
    <xf numFmtId="3" fontId="18" fillId="3" borderId="0" xfId="0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Border="1" applyAlignment="1">
      <alignment vertical="center"/>
    </xf>
    <xf numFmtId="0" fontId="4" fillId="3" borderId="0" xfId="1" applyFont="1" applyFill="1" applyBorder="1" applyAlignment="1">
      <alignment horizontal="right" vertical="center"/>
    </xf>
    <xf numFmtId="4" fontId="4" fillId="3" borderId="0" xfId="1" applyNumberFormat="1" applyFont="1" applyFill="1" applyBorder="1" applyAlignment="1">
      <alignment horizontal="right" vertical="center"/>
    </xf>
    <xf numFmtId="0" fontId="5" fillId="3" borderId="17" xfId="1" applyFont="1" applyFill="1" applyBorder="1" applyAlignment="1">
      <alignment vertical="center"/>
    </xf>
    <xf numFmtId="2" fontId="8" fillId="3" borderId="0" xfId="1" applyNumberFormat="1" applyFont="1" applyFill="1" applyAlignment="1">
      <alignment vertical="center"/>
    </xf>
    <xf numFmtId="0" fontId="6" fillId="3" borderId="0" xfId="1" applyFont="1" applyFill="1" applyBorder="1" applyAlignment="1">
      <alignment vertical="center"/>
    </xf>
    <xf numFmtId="2" fontId="8" fillId="3" borderId="0" xfId="1" applyNumberFormat="1" applyFont="1" applyFill="1" applyBorder="1" applyAlignment="1">
      <alignment vertical="center"/>
    </xf>
    <xf numFmtId="3" fontId="9" fillId="3" borderId="0" xfId="1" applyNumberFormat="1" applyFont="1" applyFill="1" applyBorder="1" applyAlignment="1">
      <alignment vertical="center"/>
    </xf>
    <xf numFmtId="0" fontId="16" fillId="3" borderId="0" xfId="1" applyFont="1" applyFill="1" applyBorder="1" applyAlignment="1">
      <alignment vertical="center"/>
    </xf>
    <xf numFmtId="0" fontId="30" fillId="3" borderId="0" xfId="1" applyFont="1" applyFill="1" applyAlignment="1">
      <alignment vertical="center"/>
    </xf>
    <xf numFmtId="0" fontId="13" fillId="3" borderId="0" xfId="1" applyFont="1" applyFill="1" applyAlignment="1">
      <alignment vertical="center"/>
    </xf>
    <xf numFmtId="3" fontId="0" fillId="3" borderId="17" xfId="0" applyNumberFormat="1" applyFont="1" applyFill="1" applyBorder="1" applyAlignment="1">
      <alignment vertical="center"/>
    </xf>
    <xf numFmtId="0" fontId="33" fillId="3" borderId="0" xfId="0" applyFont="1" applyFill="1" applyAlignment="1">
      <alignment horizontal="right" vertical="center"/>
    </xf>
    <xf numFmtId="0" fontId="17" fillId="3" borderId="17" xfId="0" applyFont="1" applyFill="1" applyBorder="1" applyAlignment="1">
      <alignment horizontal="left" vertical="center"/>
    </xf>
    <xf numFmtId="0" fontId="14" fillId="3" borderId="17" xfId="0" applyFont="1" applyFill="1" applyBorder="1" applyAlignment="1">
      <alignment horizontal="right" vertical="center"/>
    </xf>
    <xf numFmtId="0" fontId="19" fillId="0" borderId="0" xfId="0" applyFont="1"/>
    <xf numFmtId="0" fontId="18" fillId="0" borderId="18" xfId="0" applyFont="1" applyBorder="1" applyAlignment="1"/>
    <xf numFmtId="0" fontId="18" fillId="0" borderId="14" xfId="0" applyFont="1" applyBorder="1" applyAlignment="1"/>
    <xf numFmtId="0" fontId="17" fillId="0" borderId="19" xfId="0" applyFont="1" applyBorder="1"/>
    <xf numFmtId="0" fontId="17" fillId="0" borderId="0" xfId="0" applyFont="1"/>
    <xf numFmtId="0" fontId="18" fillId="0" borderId="8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41" fillId="0" borderId="0" xfId="0" applyFont="1" applyFill="1" applyBorder="1" applyAlignment="1">
      <alignment horizontal="left"/>
    </xf>
    <xf numFmtId="0" fontId="17" fillId="0" borderId="10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3" fontId="42" fillId="8" borderId="11" xfId="0" applyNumberFormat="1" applyFont="1" applyFill="1" applyBorder="1" applyAlignment="1">
      <alignment horizontal="right" indent="1"/>
    </xf>
    <xf numFmtId="3" fontId="17" fillId="6" borderId="10" xfId="0" applyNumberFormat="1" applyFont="1" applyFill="1" applyBorder="1" applyAlignment="1">
      <alignment horizontal="right" indent="1"/>
    </xf>
    <xf numFmtId="3" fontId="17" fillId="6" borderId="1" xfId="0" applyNumberFormat="1" applyFont="1" applyFill="1" applyBorder="1" applyAlignment="1">
      <alignment horizontal="right" indent="1"/>
    </xf>
    <xf numFmtId="3" fontId="17" fillId="6" borderId="11" xfId="0" applyNumberFormat="1" applyFont="1" applyFill="1" applyBorder="1" applyAlignment="1">
      <alignment horizontal="right" indent="1"/>
    </xf>
    <xf numFmtId="0" fontId="17" fillId="0" borderId="12" xfId="0" applyFont="1" applyBorder="1" applyAlignment="1">
      <alignment horizontal="center"/>
    </xf>
    <xf numFmtId="0" fontId="17" fillId="0" borderId="30" xfId="0" applyFont="1" applyBorder="1" applyAlignment="1">
      <alignment horizontal="left"/>
    </xf>
    <xf numFmtId="3" fontId="42" fillId="8" borderId="13" xfId="0" applyNumberFormat="1" applyFont="1" applyFill="1" applyBorder="1" applyAlignment="1">
      <alignment horizontal="right" indent="1"/>
    </xf>
    <xf numFmtId="3" fontId="17" fillId="6" borderId="12" xfId="0" applyNumberFormat="1" applyFont="1" applyFill="1" applyBorder="1" applyAlignment="1">
      <alignment horizontal="right" indent="1"/>
    </xf>
    <xf numFmtId="3" fontId="17" fillId="6" borderId="30" xfId="0" applyNumberFormat="1" applyFont="1" applyFill="1" applyBorder="1" applyAlignment="1">
      <alignment horizontal="right" indent="1"/>
    </xf>
    <xf numFmtId="3" fontId="17" fillId="6" borderId="13" xfId="0" applyNumberFormat="1" applyFont="1" applyFill="1" applyBorder="1" applyAlignment="1">
      <alignment horizontal="right" indent="1"/>
    </xf>
    <xf numFmtId="3" fontId="42" fillId="8" borderId="34" xfId="0" applyNumberFormat="1" applyFont="1" applyFill="1" applyBorder="1" applyAlignment="1">
      <alignment horizontal="right" indent="1"/>
    </xf>
    <xf numFmtId="3" fontId="17" fillId="0" borderId="0" xfId="0" applyNumberFormat="1" applyFont="1"/>
    <xf numFmtId="0" fontId="18" fillId="0" borderId="22" xfId="0" applyFont="1" applyBorder="1" applyAlignment="1"/>
    <xf numFmtId="0" fontId="18" fillId="0" borderId="24" xfId="0" applyFont="1" applyBorder="1" applyAlignment="1"/>
    <xf numFmtId="3" fontId="42" fillId="8" borderId="1" xfId="0" applyNumberFormat="1" applyFont="1" applyFill="1" applyBorder="1" applyAlignment="1">
      <alignment horizontal="right" indent="1"/>
    </xf>
    <xf numFmtId="3" fontId="42" fillId="8" borderId="30" xfId="0" applyNumberFormat="1" applyFont="1" applyFill="1" applyBorder="1" applyAlignment="1">
      <alignment horizontal="right" indent="1"/>
    </xf>
    <xf numFmtId="0" fontId="18" fillId="0" borderId="35" xfId="0" applyFont="1" applyBorder="1"/>
    <xf numFmtId="0" fontId="17" fillId="0" borderId="36" xfId="0" applyFont="1" applyBorder="1"/>
    <xf numFmtId="0" fontId="43" fillId="3" borderId="21" xfId="0" applyFont="1" applyFill="1" applyBorder="1" applyAlignment="1">
      <alignment horizontal="center" vertical="center" wrapText="1"/>
    </xf>
    <xf numFmtId="0" fontId="43" fillId="3" borderId="0" xfId="0" applyFont="1" applyFill="1" applyBorder="1" applyAlignment="1">
      <alignment horizontal="center" vertical="center" wrapText="1"/>
    </xf>
    <xf numFmtId="0" fontId="43" fillId="3" borderId="17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horizontal="center" wrapText="1"/>
    </xf>
    <xf numFmtId="0" fontId="18" fillId="3" borderId="11" xfId="0" applyFont="1" applyFill="1" applyBorder="1" applyAlignment="1">
      <alignment horizontal="center" wrapText="1"/>
    </xf>
    <xf numFmtId="0" fontId="17" fillId="0" borderId="5" xfId="0" applyFont="1" applyBorder="1"/>
    <xf numFmtId="3" fontId="44" fillId="8" borderId="1" xfId="0" applyNumberFormat="1" applyFont="1" applyFill="1" applyBorder="1" applyAlignment="1">
      <alignment horizontal="right" indent="1"/>
    </xf>
    <xf numFmtId="0" fontId="19" fillId="0" borderId="0" xfId="0" applyFont="1" applyFill="1" applyBorder="1" applyAlignment="1">
      <alignment horizontal="center"/>
    </xf>
    <xf numFmtId="3" fontId="43" fillId="8" borderId="46" xfId="0" applyNumberFormat="1" applyFont="1" applyFill="1" applyBorder="1" applyAlignment="1">
      <alignment horizontal="right" indent="1"/>
    </xf>
    <xf numFmtId="0" fontId="17" fillId="0" borderId="46" xfId="0" applyFont="1" applyBorder="1"/>
    <xf numFmtId="3" fontId="17" fillId="8" borderId="47" xfId="0" applyNumberFormat="1" applyFont="1" applyFill="1" applyBorder="1" applyAlignment="1">
      <alignment horizontal="right" indent="1"/>
    </xf>
    <xf numFmtId="3" fontId="17" fillId="8" borderId="48" xfId="0" applyNumberFormat="1" applyFont="1" applyFill="1" applyBorder="1" applyAlignment="1">
      <alignment horizontal="right" indent="1"/>
    </xf>
    <xf numFmtId="3" fontId="17" fillId="8" borderId="49" xfId="0" applyNumberFormat="1" applyFont="1" applyFill="1" applyBorder="1" applyAlignment="1">
      <alignment horizontal="right" indent="1"/>
    </xf>
    <xf numFmtId="0" fontId="45" fillId="0" borderId="0" xfId="0" applyFont="1" applyAlignment="1">
      <alignment horizontal="center"/>
    </xf>
    <xf numFmtId="0" fontId="18" fillId="0" borderId="18" xfId="0" applyFont="1" applyBorder="1"/>
    <xf numFmtId="0" fontId="17" fillId="0" borderId="21" xfId="0" applyFont="1" applyBorder="1"/>
    <xf numFmtId="0" fontId="17" fillId="0" borderId="21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8" fillId="3" borderId="51" xfId="0" applyFont="1" applyFill="1" applyBorder="1" applyAlignment="1">
      <alignment horizontal="center" vertical="center" wrapText="1"/>
    </xf>
    <xf numFmtId="0" fontId="18" fillId="3" borderId="54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7" fillId="0" borderId="1" xfId="0" applyFont="1" applyBorder="1"/>
    <xf numFmtId="3" fontId="42" fillId="8" borderId="27" xfId="0" applyNumberFormat="1" applyFont="1" applyFill="1" applyBorder="1" applyAlignment="1">
      <alignment horizontal="right" indent="1"/>
    </xf>
    <xf numFmtId="3" fontId="42" fillId="8" borderId="46" xfId="0" applyNumberFormat="1" applyFont="1" applyFill="1" applyBorder="1" applyAlignment="1">
      <alignment horizontal="right" indent="1"/>
    </xf>
    <xf numFmtId="3" fontId="17" fillId="0" borderId="44" xfId="0" applyNumberFormat="1" applyFont="1" applyBorder="1" applyAlignment="1">
      <alignment horizontal="right" indent="1"/>
    </xf>
    <xf numFmtId="3" fontId="17" fillId="0" borderId="45" xfId="0" applyNumberFormat="1" applyFont="1" applyBorder="1" applyAlignment="1">
      <alignment horizontal="right" indent="1"/>
    </xf>
    <xf numFmtId="3" fontId="17" fillId="0" borderId="52" xfId="0" applyNumberFormat="1" applyFont="1" applyBorder="1" applyAlignment="1">
      <alignment horizontal="right" indent="1"/>
    </xf>
    <xf numFmtId="3" fontId="10" fillId="0" borderId="28" xfId="3" applyNumberFormat="1" applyFont="1" applyFill="1" applyBorder="1" applyAlignment="1" applyProtection="1">
      <alignment horizontal="center"/>
      <protection locked="0"/>
    </xf>
    <xf numFmtId="3" fontId="10" fillId="0" borderId="31" xfId="3" applyNumberFormat="1" applyFont="1" applyFill="1" applyBorder="1" applyAlignment="1" applyProtection="1">
      <alignment horizontal="center"/>
      <protection locked="0"/>
    </xf>
    <xf numFmtId="3" fontId="10" fillId="0" borderId="27" xfId="3" applyNumberFormat="1" applyFont="1" applyFill="1" applyBorder="1" applyAlignment="1" applyProtection="1">
      <alignment horizontal="center"/>
      <protection locked="0"/>
    </xf>
    <xf numFmtId="3" fontId="10" fillId="0" borderId="6" xfId="3" applyNumberFormat="1" applyFont="1" applyFill="1" applyBorder="1" applyAlignment="1" applyProtection="1">
      <alignment horizontal="center"/>
      <protection locked="0"/>
    </xf>
    <xf numFmtId="0" fontId="12" fillId="3" borderId="0" xfId="3" applyFont="1" applyFill="1" applyProtection="1"/>
    <xf numFmtId="0" fontId="4" fillId="3" borderId="1" xfId="3" applyFont="1" applyFill="1" applyBorder="1" applyAlignment="1" applyProtection="1">
      <alignment horizontal="center"/>
      <protection locked="0"/>
    </xf>
    <xf numFmtId="0" fontId="4" fillId="3" borderId="19" xfId="3" quotePrefix="1" applyFont="1" applyFill="1" applyBorder="1" applyAlignment="1" applyProtection="1">
      <protection locked="0"/>
    </xf>
    <xf numFmtId="0" fontId="4" fillId="3" borderId="0" xfId="3" quotePrefix="1" applyFont="1" applyFill="1" applyAlignment="1" applyProtection="1">
      <alignment horizontal="center"/>
      <protection locked="0"/>
    </xf>
    <xf numFmtId="3" fontId="4" fillId="3" borderId="0" xfId="3" quotePrefix="1" applyNumberFormat="1" applyFont="1" applyFill="1" applyAlignment="1" applyProtection="1">
      <alignment horizontal="center"/>
      <protection locked="0"/>
    </xf>
    <xf numFmtId="0" fontId="0" fillId="0" borderId="0" xfId="0" applyFont="1"/>
    <xf numFmtId="0" fontId="12" fillId="3" borderId="0" xfId="3" applyFont="1" applyFill="1" applyAlignment="1" applyProtection="1">
      <alignment horizontal="left" wrapText="1"/>
    </xf>
    <xf numFmtId="0" fontId="12" fillId="3" borderId="0" xfId="3" applyFont="1" applyFill="1" applyAlignment="1" applyProtection="1">
      <alignment horizontal="center"/>
    </xf>
    <xf numFmtId="0" fontId="12" fillId="3" borderId="0" xfId="3" quotePrefix="1" applyFont="1" applyFill="1" applyAlignment="1" applyProtection="1">
      <alignment horizontal="center"/>
    </xf>
    <xf numFmtId="0" fontId="12" fillId="0" borderId="55" xfId="3" applyFont="1" applyBorder="1" applyProtection="1"/>
    <xf numFmtId="0" fontId="12" fillId="0" borderId="2" xfId="3" applyFont="1" applyBorder="1" applyAlignment="1" applyProtection="1">
      <alignment horizontal="center"/>
    </xf>
    <xf numFmtId="3" fontId="12" fillId="10" borderId="1" xfId="3" applyNumberFormat="1" applyFont="1" applyFill="1" applyBorder="1" applyProtection="1">
      <protection locked="0"/>
    </xf>
    <xf numFmtId="3" fontId="47" fillId="0" borderId="1" xfId="3" applyNumberFormat="1" applyFont="1" applyFill="1" applyBorder="1" applyProtection="1">
      <protection locked="0"/>
    </xf>
    <xf numFmtId="3" fontId="47" fillId="0" borderId="11" xfId="3" applyNumberFormat="1" applyFont="1" applyFill="1" applyBorder="1" applyProtection="1">
      <protection locked="0"/>
    </xf>
    <xf numFmtId="0" fontId="12" fillId="0" borderId="56" xfId="3" applyFont="1" applyBorder="1" applyProtection="1"/>
    <xf numFmtId="0" fontId="12" fillId="0" borderId="0" xfId="3" applyFont="1" applyBorder="1" applyAlignment="1" applyProtection="1">
      <alignment horizontal="center"/>
    </xf>
    <xf numFmtId="0" fontId="12" fillId="0" borderId="57" xfId="3" applyFont="1" applyBorder="1" applyProtection="1"/>
    <xf numFmtId="0" fontId="12" fillId="0" borderId="33" xfId="3" applyFont="1" applyBorder="1" applyAlignment="1" applyProtection="1">
      <alignment horizontal="center"/>
    </xf>
    <xf numFmtId="3" fontId="12" fillId="10" borderId="30" xfId="3" applyNumberFormat="1" applyFont="1" applyFill="1" applyBorder="1" applyProtection="1">
      <protection locked="0"/>
    </xf>
    <xf numFmtId="3" fontId="47" fillId="0" borderId="30" xfId="3" applyNumberFormat="1" applyFont="1" applyFill="1" applyBorder="1" applyProtection="1">
      <protection locked="0"/>
    </xf>
    <xf numFmtId="3" fontId="47" fillId="0" borderId="13" xfId="3" applyNumberFormat="1" applyFont="1" applyFill="1" applyBorder="1" applyProtection="1">
      <protection locked="0"/>
    </xf>
    <xf numFmtId="0" fontId="12" fillId="0" borderId="58" xfId="3" applyFont="1" applyBorder="1" applyProtection="1"/>
    <xf numFmtId="0" fontId="12" fillId="0" borderId="39" xfId="3" applyFont="1" applyBorder="1" applyAlignment="1" applyProtection="1">
      <alignment horizontal="center"/>
    </xf>
    <xf numFmtId="3" fontId="12" fillId="10" borderId="25" xfId="3" applyNumberFormat="1" applyFont="1" applyFill="1" applyBorder="1" applyProtection="1">
      <protection locked="0"/>
    </xf>
    <xf numFmtId="3" fontId="47" fillId="0" borderId="25" xfId="3" applyNumberFormat="1" applyFont="1" applyFill="1" applyBorder="1" applyProtection="1">
      <protection locked="0"/>
    </xf>
    <xf numFmtId="3" fontId="47" fillId="0" borderId="9" xfId="3" applyNumberFormat="1" applyFont="1" applyFill="1" applyBorder="1" applyProtection="1">
      <protection locked="0"/>
    </xf>
    <xf numFmtId="0" fontId="12" fillId="0" borderId="57" xfId="3" quotePrefix="1" applyFont="1" applyBorder="1" applyAlignment="1" applyProtection="1">
      <alignment horizontal="left"/>
    </xf>
    <xf numFmtId="0" fontId="4" fillId="0" borderId="47" xfId="3" applyFont="1" applyBorder="1" applyProtection="1"/>
    <xf numFmtId="0" fontId="4" fillId="0" borderId="45" xfId="3" applyFont="1" applyBorder="1" applyAlignment="1" applyProtection="1">
      <alignment horizontal="center"/>
    </xf>
    <xf numFmtId="3" fontId="4" fillId="10" borderId="48" xfId="3" applyNumberFormat="1" applyFont="1" applyFill="1" applyBorder="1" applyProtection="1">
      <protection locked="0"/>
    </xf>
    <xf numFmtId="3" fontId="43" fillId="10" borderId="48" xfId="3" applyNumberFormat="1" applyFont="1" applyFill="1" applyBorder="1" applyProtection="1">
      <protection locked="0"/>
    </xf>
    <xf numFmtId="3" fontId="4" fillId="10" borderId="49" xfId="3" applyNumberFormat="1" applyFont="1" applyFill="1" applyBorder="1" applyProtection="1">
      <protection locked="0"/>
    </xf>
    <xf numFmtId="0" fontId="17" fillId="0" borderId="0" xfId="0" applyFont="1" applyAlignment="1">
      <alignment horizontal="center"/>
    </xf>
    <xf numFmtId="0" fontId="12" fillId="0" borderId="29" xfId="3" applyFont="1" applyBorder="1" applyProtection="1"/>
    <xf numFmtId="3" fontId="37" fillId="0" borderId="14" xfId="3" applyNumberFormat="1" applyFont="1" applyFill="1" applyBorder="1" applyAlignment="1" applyProtection="1">
      <alignment horizontal="center"/>
      <protection locked="0"/>
    </xf>
    <xf numFmtId="3" fontId="47" fillId="3" borderId="1" xfId="3" applyNumberFormat="1" applyFont="1" applyFill="1" applyBorder="1" applyAlignment="1" applyProtection="1">
      <alignment horizontal="right"/>
      <protection locked="0"/>
    </xf>
    <xf numFmtId="3" fontId="12" fillId="6" borderId="1" xfId="3" applyNumberFormat="1" applyFont="1" applyFill="1" applyBorder="1" applyProtection="1">
      <protection locked="0"/>
    </xf>
    <xf numFmtId="3" fontId="12" fillId="6" borderId="5" xfId="3" applyNumberFormat="1" applyFont="1" applyFill="1" applyBorder="1" applyProtection="1">
      <protection locked="0"/>
    </xf>
    <xf numFmtId="3" fontId="12" fillId="6" borderId="11" xfId="3" applyNumberFormat="1" applyFont="1" applyFill="1" applyBorder="1" applyProtection="1">
      <protection locked="0"/>
    </xf>
    <xf numFmtId="164" fontId="19" fillId="0" borderId="0" xfId="2" applyNumberFormat="1" applyFont="1"/>
    <xf numFmtId="0" fontId="12" fillId="0" borderId="3" xfId="3" applyFont="1" applyBorder="1" applyAlignment="1" applyProtection="1">
      <alignment horizontal="center"/>
    </xf>
    <xf numFmtId="3" fontId="37" fillId="0" borderId="15" xfId="3" applyNumberFormat="1" applyFont="1" applyFill="1" applyBorder="1" applyAlignment="1" applyProtection="1">
      <alignment horizontal="center"/>
      <protection locked="0"/>
    </xf>
    <xf numFmtId="0" fontId="12" fillId="0" borderId="59" xfId="3" applyFont="1" applyBorder="1" applyAlignment="1" applyProtection="1">
      <alignment horizontal="center"/>
    </xf>
    <xf numFmtId="3" fontId="37" fillId="0" borderId="60" xfId="3" applyNumberFormat="1" applyFont="1" applyFill="1" applyBorder="1" applyAlignment="1" applyProtection="1">
      <alignment horizontal="center"/>
      <protection locked="0"/>
    </xf>
    <xf numFmtId="3" fontId="47" fillId="3" borderId="30" xfId="3" applyNumberFormat="1" applyFont="1" applyFill="1" applyBorder="1" applyAlignment="1" applyProtection="1">
      <alignment horizontal="right"/>
      <protection locked="0"/>
    </xf>
    <xf numFmtId="3" fontId="12" fillId="6" borderId="30" xfId="3" applyNumberFormat="1" applyFont="1" applyFill="1" applyBorder="1" applyProtection="1">
      <protection locked="0"/>
    </xf>
    <xf numFmtId="3" fontId="12" fillId="6" borderId="22" xfId="3" applyNumberFormat="1" applyFont="1" applyFill="1" applyBorder="1" applyProtection="1">
      <protection locked="0"/>
    </xf>
    <xf numFmtId="3" fontId="12" fillId="6" borderId="13" xfId="3" applyNumberFormat="1" applyFont="1" applyFill="1" applyBorder="1" applyProtection="1">
      <protection locked="0"/>
    </xf>
    <xf numFmtId="0" fontId="12" fillId="0" borderId="41" xfId="3" applyFont="1" applyBorder="1" applyAlignment="1" applyProtection="1">
      <alignment horizontal="center"/>
    </xf>
    <xf numFmtId="3" fontId="37" fillId="0" borderId="39" xfId="3" applyNumberFormat="1" applyFont="1" applyFill="1" applyBorder="1" applyAlignment="1" applyProtection="1">
      <alignment horizontal="center"/>
      <protection locked="0"/>
    </xf>
    <xf numFmtId="3" fontId="47" fillId="3" borderId="25" xfId="3" applyNumberFormat="1" applyFont="1" applyFill="1" applyBorder="1" applyAlignment="1" applyProtection="1">
      <alignment horizontal="right"/>
      <protection locked="0"/>
    </xf>
    <xf numFmtId="3" fontId="12" fillId="6" borderId="25" xfId="3" applyNumberFormat="1" applyFont="1" applyFill="1" applyBorder="1" applyProtection="1">
      <protection locked="0"/>
    </xf>
    <xf numFmtId="3" fontId="12" fillId="6" borderId="9" xfId="3" applyNumberFormat="1" applyFont="1" applyFill="1" applyBorder="1" applyProtection="1">
      <protection locked="0"/>
    </xf>
    <xf numFmtId="3" fontId="37" fillId="0" borderId="33" xfId="3" applyNumberFormat="1" applyFont="1" applyFill="1" applyBorder="1" applyAlignment="1" applyProtection="1">
      <alignment horizontal="center"/>
      <protection locked="0"/>
    </xf>
    <xf numFmtId="0" fontId="4" fillId="0" borderId="15" xfId="3" applyFont="1" applyBorder="1" applyProtection="1"/>
    <xf numFmtId="0" fontId="4" fillId="0" borderId="3" xfId="3" applyFont="1" applyBorder="1" applyAlignment="1" applyProtection="1">
      <alignment horizontal="center"/>
    </xf>
    <xf numFmtId="3" fontId="12" fillId="0" borderId="0" xfId="3" applyNumberFormat="1" applyFont="1" applyFill="1" applyBorder="1" applyProtection="1">
      <protection locked="0"/>
    </xf>
    <xf numFmtId="3" fontId="48" fillId="0" borderId="4" xfId="3" applyNumberFormat="1" applyFont="1" applyBorder="1" applyProtection="1"/>
    <xf numFmtId="3" fontId="4" fillId="0" borderId="4" xfId="3" applyNumberFormat="1" applyFont="1" applyBorder="1" applyProtection="1"/>
    <xf numFmtId="0" fontId="4" fillId="0" borderId="0" xfId="3" applyFont="1" applyBorder="1" applyProtection="1"/>
    <xf numFmtId="0" fontId="4" fillId="0" borderId="0" xfId="3" applyFont="1" applyBorder="1" applyAlignment="1" applyProtection="1">
      <alignment horizontal="center"/>
    </xf>
    <xf numFmtId="3" fontId="4" fillId="0" borderId="0" xfId="3" applyNumberFormat="1" applyFont="1" applyBorder="1" applyProtection="1"/>
    <xf numFmtId="3" fontId="49" fillId="3" borderId="0" xfId="3" applyNumberFormat="1" applyFont="1" applyFill="1" applyBorder="1" applyProtection="1"/>
    <xf numFmtId="3" fontId="17" fillId="3" borderId="0" xfId="0" applyNumberFormat="1" applyFont="1" applyFill="1"/>
    <xf numFmtId="0" fontId="4" fillId="3" borderId="0" xfId="3" applyFont="1" applyFill="1" applyProtection="1"/>
    <xf numFmtId="3" fontId="4" fillId="3" borderId="0" xfId="3" applyNumberFormat="1" applyFont="1" applyFill="1" applyBorder="1" applyProtection="1"/>
    <xf numFmtId="3" fontId="4" fillId="3" borderId="1" xfId="3" applyNumberFormat="1" applyFont="1" applyFill="1" applyBorder="1" applyProtection="1"/>
    <xf numFmtId="3" fontId="18" fillId="12" borderId="1" xfId="0" applyNumberFormat="1" applyFont="1" applyFill="1" applyBorder="1"/>
    <xf numFmtId="3" fontId="4" fillId="3" borderId="0" xfId="3" applyNumberFormat="1" applyFont="1" applyFill="1" applyBorder="1" applyAlignment="1" applyProtection="1">
      <alignment horizontal="left" indent="1"/>
    </xf>
    <xf numFmtId="0" fontId="12" fillId="0" borderId="0" xfId="3" applyFont="1" applyAlignment="1">
      <alignment horizontal="left" indent="1"/>
    </xf>
    <xf numFmtId="0" fontId="4" fillId="0" borderId="0" xfId="3" applyFont="1" applyAlignment="1" applyProtection="1">
      <alignment horizontal="center"/>
    </xf>
    <xf numFmtId="9" fontId="44" fillId="0" borderId="0" xfId="3" applyNumberFormat="1" applyFont="1" applyAlignment="1">
      <alignment horizontal="right" indent="1"/>
    </xf>
    <xf numFmtId="0" fontId="4" fillId="0" borderId="0" xfId="0" applyFont="1" applyAlignment="1">
      <alignment horizontal="left" indent="1"/>
    </xf>
    <xf numFmtId="0" fontId="12" fillId="0" borderId="15" xfId="3" applyFont="1" applyBorder="1" applyProtection="1">
      <protection locked="0"/>
    </xf>
    <xf numFmtId="0" fontId="35" fillId="0" borderId="0" xfId="0" applyFont="1"/>
    <xf numFmtId="0" fontId="12" fillId="0" borderId="0" xfId="3" applyFont="1" applyBorder="1" applyProtection="1">
      <protection locked="0"/>
    </xf>
    <xf numFmtId="3" fontId="37" fillId="0" borderId="0" xfId="3" applyNumberFormat="1" applyFont="1" applyFill="1" applyBorder="1" applyAlignment="1" applyProtection="1">
      <alignment horizontal="center"/>
      <protection locked="0"/>
    </xf>
    <xf numFmtId="3" fontId="12" fillId="3" borderId="0" xfId="3" applyNumberFormat="1" applyFont="1" applyFill="1" applyBorder="1" applyProtection="1">
      <protection locked="0"/>
    </xf>
    <xf numFmtId="0" fontId="32" fillId="0" borderId="0" xfId="0" applyFont="1"/>
    <xf numFmtId="3" fontId="18" fillId="0" borderId="0" xfId="0" applyNumberFormat="1" applyFont="1"/>
    <xf numFmtId="3" fontId="50" fillId="0" borderId="0" xfId="3" applyNumberFormat="1" applyFont="1" applyFill="1" applyBorder="1" applyAlignment="1" applyProtection="1">
      <alignment horizontal="center"/>
    </xf>
    <xf numFmtId="0" fontId="12" fillId="0" borderId="15" xfId="3" applyFont="1" applyBorder="1" applyProtection="1"/>
    <xf numFmtId="0" fontId="18" fillId="0" borderId="0" xfId="0" applyFont="1" applyAlignment="1">
      <alignment horizontal="left" indent="1"/>
    </xf>
    <xf numFmtId="3" fontId="12" fillId="6" borderId="1" xfId="3" applyNumberFormat="1" applyFont="1" applyFill="1" applyBorder="1" applyProtection="1"/>
    <xf numFmtId="3" fontId="12" fillId="0" borderId="1" xfId="3" applyNumberFormat="1" applyFont="1" applyBorder="1" applyProtection="1"/>
    <xf numFmtId="3" fontId="4" fillId="0" borderId="0" xfId="3" applyNumberFormat="1" applyFont="1" applyFill="1" applyBorder="1" applyProtection="1"/>
    <xf numFmtId="3" fontId="4" fillId="0" borderId="1" xfId="3" applyNumberFormat="1" applyFont="1" applyBorder="1" applyProtection="1"/>
    <xf numFmtId="3" fontId="4" fillId="12" borderId="1" xfId="3" applyNumberFormat="1" applyFont="1" applyFill="1" applyBorder="1" applyProtection="1"/>
    <xf numFmtId="0" fontId="46" fillId="11" borderId="0" xfId="3" applyFont="1" applyFill="1" applyAlignment="1" applyProtection="1"/>
    <xf numFmtId="0" fontId="51" fillId="0" borderId="0" xfId="0" applyFont="1"/>
    <xf numFmtId="0" fontId="38" fillId="0" borderId="0" xfId="0" applyFont="1"/>
    <xf numFmtId="0" fontId="46" fillId="0" borderId="3" xfId="3" applyFont="1" applyBorder="1" applyAlignment="1" applyProtection="1">
      <alignment horizontal="center" vertical="center"/>
    </xf>
    <xf numFmtId="3" fontId="46" fillId="0" borderId="0" xfId="3" applyNumberFormat="1" applyFont="1" applyFill="1" applyBorder="1" applyProtection="1"/>
    <xf numFmtId="0" fontId="52" fillId="0" borderId="0" xfId="3" applyFont="1" applyBorder="1" applyAlignment="1" applyProtection="1">
      <alignment horizontal="center"/>
    </xf>
    <xf numFmtId="3" fontId="52" fillId="0" borderId="0" xfId="3" applyNumberFormat="1" applyFont="1" applyBorder="1" applyProtection="1"/>
    <xf numFmtId="164" fontId="46" fillId="0" borderId="0" xfId="2" applyNumberFormat="1" applyFont="1" applyAlignment="1">
      <alignment horizontal="right"/>
    </xf>
    <xf numFmtId="0" fontId="52" fillId="0" borderId="0" xfId="3" applyFont="1" applyBorder="1" applyProtection="1"/>
    <xf numFmtId="0" fontId="0" fillId="3" borderId="0" xfId="0" applyFill="1"/>
    <xf numFmtId="0" fontId="14" fillId="3" borderId="16" xfId="0" applyFont="1" applyFill="1" applyBorder="1"/>
    <xf numFmtId="3" fontId="14" fillId="3" borderId="17" xfId="0" applyNumberFormat="1" applyFont="1" applyFill="1" applyBorder="1"/>
    <xf numFmtId="0" fontId="0" fillId="3" borderId="17" xfId="0" applyFill="1" applyBorder="1"/>
    <xf numFmtId="0" fontId="14" fillId="3" borderId="20" xfId="0" applyFont="1" applyFill="1" applyBorder="1"/>
    <xf numFmtId="0" fontId="14" fillId="3" borderId="15" xfId="0" applyFont="1" applyFill="1" applyBorder="1"/>
    <xf numFmtId="3" fontId="14" fillId="3" borderId="0" xfId="0" applyNumberFormat="1" applyFont="1" applyFill="1" applyBorder="1"/>
    <xf numFmtId="0" fontId="0" fillId="3" borderId="0" xfId="0" applyFill="1" applyBorder="1"/>
    <xf numFmtId="0" fontId="14" fillId="3" borderId="19" xfId="0" applyFont="1" applyFill="1" applyBorder="1"/>
    <xf numFmtId="0" fontId="14" fillId="3" borderId="14" xfId="0" applyFont="1" applyFill="1" applyBorder="1"/>
    <xf numFmtId="3" fontId="14" fillId="3" borderId="21" xfId="0" applyNumberFormat="1" applyFont="1" applyFill="1" applyBorder="1"/>
    <xf numFmtId="0" fontId="0" fillId="3" borderId="21" xfId="0" applyFill="1" applyBorder="1"/>
    <xf numFmtId="0" fontId="14" fillId="3" borderId="18" xfId="0" applyFont="1" applyFill="1" applyBorder="1"/>
    <xf numFmtId="0" fontId="11" fillId="3" borderId="0" xfId="0" applyFont="1" applyFill="1"/>
    <xf numFmtId="0" fontId="14" fillId="2" borderId="16" xfId="0" applyFont="1" applyFill="1" applyBorder="1"/>
    <xf numFmtId="3" fontId="14" fillId="2" borderId="17" xfId="0" applyNumberFormat="1" applyFont="1" applyFill="1" applyBorder="1"/>
    <xf numFmtId="0" fontId="0" fillId="2" borderId="17" xfId="0" applyFill="1" applyBorder="1"/>
    <xf numFmtId="0" fontId="0" fillId="2" borderId="20" xfId="0" applyFill="1" applyBorder="1"/>
    <xf numFmtId="0" fontId="14" fillId="2" borderId="15" xfId="0" applyFont="1" applyFill="1" applyBorder="1"/>
    <xf numFmtId="3" fontId="14" fillId="2" borderId="0" xfId="0" applyNumberFormat="1" applyFont="1" applyFill="1" applyBorder="1"/>
    <xf numFmtId="9" fontId="0" fillId="2" borderId="0" xfId="0" applyNumberFormat="1" applyFill="1" applyBorder="1"/>
    <xf numFmtId="0" fontId="0" fillId="2" borderId="0" xfId="0" applyFill="1" applyBorder="1"/>
    <xf numFmtId="0" fontId="0" fillId="2" borderId="19" xfId="0" applyFill="1" applyBorder="1"/>
    <xf numFmtId="0" fontId="14" fillId="2" borderId="14" xfId="0" applyFont="1" applyFill="1" applyBorder="1"/>
    <xf numFmtId="3" fontId="14" fillId="2" borderId="21" xfId="0" applyNumberFormat="1" applyFont="1" applyFill="1" applyBorder="1"/>
    <xf numFmtId="0" fontId="0" fillId="2" borderId="21" xfId="0" applyFill="1" applyBorder="1"/>
    <xf numFmtId="0" fontId="0" fillId="2" borderId="18" xfId="0" applyFill="1" applyBorder="1"/>
    <xf numFmtId="0" fontId="0" fillId="3" borderId="16" xfId="0" applyFill="1" applyBorder="1"/>
    <xf numFmtId="3" fontId="0" fillId="3" borderId="17" xfId="0" applyNumberFormat="1" applyFont="1" applyFill="1" applyBorder="1"/>
    <xf numFmtId="0" fontId="0" fillId="3" borderId="20" xfId="0" applyFill="1" applyBorder="1"/>
    <xf numFmtId="0" fontId="0" fillId="3" borderId="14" xfId="0" applyFill="1" applyBorder="1"/>
    <xf numFmtId="3" fontId="0" fillId="3" borderId="21" xfId="0" applyNumberFormat="1" applyFont="1" applyFill="1" applyBorder="1"/>
    <xf numFmtId="0" fontId="0" fillId="3" borderId="18" xfId="0" applyFill="1" applyBorder="1"/>
    <xf numFmtId="0" fontId="14" fillId="3" borderId="0" xfId="0" applyFont="1" applyFill="1"/>
    <xf numFmtId="0" fontId="14" fillId="3" borderId="0" xfId="0" applyFont="1" applyFill="1" applyAlignment="1">
      <alignment horizontal="right"/>
    </xf>
    <xf numFmtId="0" fontId="14" fillId="2" borderId="7" xfId="0" applyFont="1" applyFill="1" applyBorder="1"/>
    <xf numFmtId="3" fontId="14" fillId="2" borderId="6" xfId="0" applyNumberFormat="1" applyFont="1" applyFill="1" applyBorder="1"/>
    <xf numFmtId="0" fontId="0" fillId="2" borderId="6" xfId="0" applyFill="1" applyBorder="1"/>
    <xf numFmtId="0" fontId="0" fillId="2" borderId="5" xfId="0" applyFill="1" applyBorder="1"/>
    <xf numFmtId="0" fontId="14" fillId="3" borderId="0" xfId="0" applyFont="1" applyFill="1" applyBorder="1"/>
    <xf numFmtId="0" fontId="14" fillId="3" borderId="0" xfId="0" applyFont="1" applyFill="1" applyBorder="1" applyAlignment="1">
      <alignment horizontal="right"/>
    </xf>
    <xf numFmtId="0" fontId="37" fillId="3" borderId="0" xfId="0" applyFont="1" applyFill="1"/>
    <xf numFmtId="9" fontId="14" fillId="6" borderId="0" xfId="0" applyNumberFormat="1" applyFont="1" applyFill="1"/>
    <xf numFmtId="0" fontId="39" fillId="3" borderId="0" xfId="0" applyFont="1" applyFill="1"/>
    <xf numFmtId="0" fontId="0" fillId="3" borderId="0" xfId="0" applyFill="1" applyAlignment="1">
      <alignment horizontal="left" indent="1"/>
    </xf>
    <xf numFmtId="3" fontId="14" fillId="7" borderId="46" xfId="0" applyNumberFormat="1" applyFont="1" applyFill="1" applyBorder="1" applyAlignment="1">
      <alignment horizontal="right" indent="1"/>
    </xf>
    <xf numFmtId="0" fontId="17" fillId="3" borderId="0" xfId="0" applyFont="1" applyFill="1" applyAlignment="1">
      <alignment horizontal="right"/>
    </xf>
    <xf numFmtId="164" fontId="55" fillId="3" borderId="0" xfId="0" applyNumberFormat="1" applyFont="1" applyFill="1" applyAlignment="1">
      <alignment horizontal="center"/>
    </xf>
    <xf numFmtId="0" fontId="12" fillId="3" borderId="0" xfId="0" applyFont="1" applyFill="1"/>
    <xf numFmtId="0" fontId="54" fillId="3" borderId="0" xfId="0" applyFont="1" applyFill="1"/>
    <xf numFmtId="9" fontId="56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right" indent="1"/>
    </xf>
    <xf numFmtId="0" fontId="47" fillId="3" borderId="0" xfId="0" applyFont="1" applyFill="1"/>
    <xf numFmtId="164" fontId="15" fillId="3" borderId="0" xfId="0" applyNumberFormat="1" applyFont="1" applyFill="1"/>
    <xf numFmtId="0" fontId="29" fillId="3" borderId="0" xfId="0" applyFont="1" applyFill="1"/>
    <xf numFmtId="0" fontId="15" fillId="3" borderId="0" xfId="0" applyFont="1" applyFill="1"/>
    <xf numFmtId="3" fontId="14" fillId="3" borderId="0" xfId="2" applyNumberFormat="1" applyFont="1" applyFill="1" applyAlignment="1">
      <alignment horizontal="right" indent="1"/>
    </xf>
    <xf numFmtId="3" fontId="47" fillId="3" borderId="0" xfId="0" applyNumberFormat="1" applyFont="1" applyFill="1"/>
    <xf numFmtId="0" fontId="17" fillId="3" borderId="0" xfId="0" applyFont="1" applyFill="1"/>
    <xf numFmtId="3" fontId="14" fillId="3" borderId="0" xfId="0" applyNumberFormat="1" applyFont="1" applyFill="1" applyAlignment="1">
      <alignment horizontal="right" indent="1"/>
    </xf>
    <xf numFmtId="3" fontId="60" fillId="0" borderId="0" xfId="0" applyNumberFormat="1" applyFont="1" applyAlignment="1">
      <alignment horizontal="center"/>
    </xf>
    <xf numFmtId="3" fontId="33" fillId="3" borderId="0" xfId="0" applyNumberFormat="1" applyFont="1" applyFill="1" applyAlignment="1">
      <alignment horizontal="right" vertical="center"/>
    </xf>
    <xf numFmtId="0" fontId="0" fillId="13" borderId="0" xfId="0" applyFont="1" applyFill="1"/>
    <xf numFmtId="0" fontId="4" fillId="3" borderId="3" xfId="3" applyFont="1" applyFill="1" applyBorder="1" applyAlignment="1" applyProtection="1">
      <alignment horizontal="center"/>
    </xf>
    <xf numFmtId="0" fontId="62" fillId="0" borderId="0" xfId="0" applyFont="1"/>
    <xf numFmtId="9" fontId="0" fillId="3" borderId="0" xfId="0" applyNumberFormat="1" applyFill="1"/>
    <xf numFmtId="9" fontId="0" fillId="2" borderId="0" xfId="0" applyNumberFormat="1" applyFill="1" applyBorder="1" applyAlignment="1">
      <alignment horizontal="right"/>
    </xf>
    <xf numFmtId="3" fontId="18" fillId="4" borderId="17" xfId="0" applyNumberFormat="1" applyFont="1" applyFill="1" applyBorder="1" applyAlignment="1">
      <alignment horizontal="center" vertical="center"/>
    </xf>
    <xf numFmtId="0" fontId="46" fillId="3" borderId="0" xfId="1" applyFont="1" applyFill="1" applyAlignment="1">
      <alignment vertical="center"/>
    </xf>
    <xf numFmtId="3" fontId="0" fillId="0" borderId="0" xfId="0" applyNumberFormat="1" applyFont="1"/>
    <xf numFmtId="9" fontId="0" fillId="3" borderId="0" xfId="0" applyNumberFormat="1" applyFill="1" applyBorder="1" applyAlignment="1">
      <alignment horizontal="right"/>
    </xf>
    <xf numFmtId="9" fontId="18" fillId="12" borderId="1" xfId="2" applyFont="1" applyFill="1" applyBorder="1"/>
    <xf numFmtId="164" fontId="64" fillId="0" borderId="0" xfId="2" applyNumberFormat="1" applyFont="1" applyAlignment="1">
      <alignment horizontal="right"/>
    </xf>
    <xf numFmtId="9" fontId="4" fillId="3" borderId="1" xfId="2" applyFont="1" applyFill="1" applyBorder="1" applyProtection="1"/>
    <xf numFmtId="3" fontId="47" fillId="0" borderId="0" xfId="0" applyNumberFormat="1" applyFont="1"/>
    <xf numFmtId="9" fontId="14" fillId="7" borderId="46" xfId="2" applyNumberFormat="1" applyFont="1" applyFill="1" applyBorder="1" applyAlignment="1">
      <alignment horizontal="right" indent="1"/>
    </xf>
    <xf numFmtId="165" fontId="17" fillId="3" borderId="0" xfId="0" applyNumberFormat="1" applyFont="1" applyFill="1" applyAlignment="1">
      <alignment vertical="center"/>
    </xf>
    <xf numFmtId="0" fontId="17" fillId="3" borderId="0" xfId="0" applyFont="1" applyFill="1" applyAlignment="1">
      <alignment horizontal="right" vertical="center"/>
    </xf>
    <xf numFmtId="3" fontId="0" fillId="3" borderId="0" xfId="0" applyNumberFormat="1" applyFill="1"/>
    <xf numFmtId="10" fontId="0" fillId="3" borderId="0" xfId="2" applyNumberFormat="1" applyFont="1" applyFill="1"/>
    <xf numFmtId="0" fontId="44" fillId="3" borderId="0" xfId="0" applyFont="1" applyFill="1" applyAlignment="1">
      <alignment vertical="center"/>
    </xf>
    <xf numFmtId="0" fontId="67" fillId="3" borderId="0" xfId="0" applyFont="1" applyFill="1" applyAlignment="1">
      <alignment vertical="center"/>
    </xf>
    <xf numFmtId="0" fontId="43" fillId="3" borderId="0" xfId="0" applyFont="1" applyFill="1" applyAlignment="1">
      <alignment horizontal="left" vertical="center"/>
    </xf>
    <xf numFmtId="165" fontId="44" fillId="3" borderId="0" xfId="0" applyNumberFormat="1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38" fillId="3" borderId="0" xfId="0" applyFont="1" applyFill="1" applyAlignment="1">
      <alignment horizontal="center" vertical="center"/>
    </xf>
    <xf numFmtId="0" fontId="38" fillId="3" borderId="63" xfId="0" applyFont="1" applyFill="1" applyBorder="1" applyAlignment="1">
      <alignment horizontal="center" vertical="center"/>
    </xf>
    <xf numFmtId="0" fontId="38" fillId="3" borderId="63" xfId="0" applyFont="1" applyFill="1" applyBorder="1" applyAlignment="1">
      <alignment vertical="center"/>
    </xf>
    <xf numFmtId="0" fontId="44" fillId="3" borderId="63" xfId="0" applyFont="1" applyFill="1" applyBorder="1" applyAlignment="1">
      <alignment vertical="center"/>
    </xf>
    <xf numFmtId="0" fontId="38" fillId="3" borderId="64" xfId="0" applyFont="1" applyFill="1" applyBorder="1" applyAlignment="1">
      <alignment horizontal="center" vertical="center"/>
    </xf>
    <xf numFmtId="0" fontId="38" fillId="3" borderId="64" xfId="0" applyFont="1" applyFill="1" applyBorder="1" applyAlignment="1">
      <alignment vertical="center"/>
    </xf>
    <xf numFmtId="0" fontId="44" fillId="3" borderId="64" xfId="0" applyFont="1" applyFill="1" applyBorder="1" applyAlignment="1">
      <alignment vertical="center"/>
    </xf>
    <xf numFmtId="166" fontId="44" fillId="3" borderId="63" xfId="0" applyNumberFormat="1" applyFont="1" applyFill="1" applyBorder="1" applyAlignment="1">
      <alignment horizontal="right" vertical="center"/>
    </xf>
    <xf numFmtId="166" fontId="38" fillId="3" borderId="63" xfId="0" applyNumberFormat="1" applyFont="1" applyFill="1" applyBorder="1" applyAlignment="1">
      <alignment horizontal="right" vertical="center"/>
    </xf>
    <xf numFmtId="166" fontId="44" fillId="3" borderId="64" xfId="0" applyNumberFormat="1" applyFont="1" applyFill="1" applyBorder="1" applyAlignment="1">
      <alignment horizontal="right" vertical="center"/>
    </xf>
    <xf numFmtId="166" fontId="38" fillId="3" borderId="64" xfId="0" applyNumberFormat="1" applyFont="1" applyFill="1" applyBorder="1" applyAlignment="1">
      <alignment horizontal="right" vertical="center"/>
    </xf>
    <xf numFmtId="4" fontId="38" fillId="3" borderId="63" xfId="0" applyNumberFormat="1" applyFont="1" applyFill="1" applyBorder="1" applyAlignment="1">
      <alignment horizontal="right" vertical="center"/>
    </xf>
    <xf numFmtId="4" fontId="38" fillId="3" borderId="64" xfId="0" applyNumberFormat="1" applyFont="1" applyFill="1" applyBorder="1" applyAlignment="1">
      <alignment horizontal="right" vertical="center"/>
    </xf>
    <xf numFmtId="167" fontId="38" fillId="3" borderId="64" xfId="0" applyNumberFormat="1" applyFont="1" applyFill="1" applyBorder="1" applyAlignment="1">
      <alignment horizontal="right" vertical="center"/>
    </xf>
    <xf numFmtId="0" fontId="37" fillId="3" borderId="0" xfId="0" applyFont="1" applyFill="1" applyAlignment="1">
      <alignment vertical="center"/>
    </xf>
    <xf numFmtId="0" fontId="18" fillId="6" borderId="0" xfId="0" applyFont="1" applyFill="1" applyAlignment="1">
      <alignment horizontal="left" vertical="center" indent="1"/>
    </xf>
    <xf numFmtId="0" fontId="17" fillId="6" borderId="0" xfId="0" applyFont="1" applyFill="1" applyAlignment="1">
      <alignment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62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vertical="center"/>
    </xf>
    <xf numFmtId="0" fontId="17" fillId="3" borderId="0" xfId="0" applyFont="1" applyFill="1" applyAlignment="1">
      <alignment horizontal="left" vertical="center" indent="1"/>
    </xf>
    <xf numFmtId="165" fontId="17" fillId="6" borderId="0" xfId="0" applyNumberFormat="1" applyFont="1" applyFill="1" applyAlignment="1">
      <alignment vertical="center"/>
    </xf>
    <xf numFmtId="3" fontId="17" fillId="6" borderId="0" xfId="0" applyNumberFormat="1" applyFont="1" applyFill="1" applyAlignment="1">
      <alignment vertical="center"/>
    </xf>
    <xf numFmtId="9" fontId="17" fillId="3" borderId="65" xfId="2" applyFont="1" applyFill="1" applyBorder="1" applyAlignment="1">
      <alignment vertical="center"/>
    </xf>
    <xf numFmtId="9" fontId="17" fillId="3" borderId="61" xfId="2" applyFont="1" applyFill="1" applyBorder="1" applyAlignment="1">
      <alignment vertical="center"/>
    </xf>
    <xf numFmtId="165" fontId="17" fillId="6" borderId="0" xfId="0" applyNumberFormat="1" applyFont="1" applyFill="1" applyAlignment="1">
      <alignment horizontal="right" vertical="center"/>
    </xf>
    <xf numFmtId="9" fontId="17" fillId="3" borderId="62" xfId="2" applyFont="1" applyFill="1" applyBorder="1" applyAlignment="1">
      <alignment vertical="center"/>
    </xf>
    <xf numFmtId="0" fontId="17" fillId="3" borderId="66" xfId="0" applyFont="1" applyFill="1" applyBorder="1" applyAlignment="1">
      <alignment vertical="center"/>
    </xf>
    <xf numFmtId="3" fontId="14" fillId="3" borderId="0" xfId="0" applyNumberFormat="1" applyFont="1" applyFill="1" applyAlignment="1">
      <alignment vertical="center"/>
    </xf>
    <xf numFmtId="9" fontId="14" fillId="3" borderId="61" xfId="2" applyFont="1" applyFill="1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166" fontId="14" fillId="3" borderId="0" xfId="0" applyNumberFormat="1" applyFont="1" applyFill="1" applyAlignment="1">
      <alignment vertical="center"/>
    </xf>
    <xf numFmtId="0" fontId="61" fillId="13" borderId="0" xfId="0" applyFont="1" applyFill="1"/>
    <xf numFmtId="3" fontId="43" fillId="3" borderId="1" xfId="0" applyNumberFormat="1" applyFont="1" applyFill="1" applyBorder="1" applyAlignment="1">
      <alignment vertical="center"/>
    </xf>
    <xf numFmtId="0" fontId="69" fillId="11" borderId="0" xfId="3" applyFont="1" applyFill="1" applyAlignment="1" applyProtection="1"/>
    <xf numFmtId="0" fontId="43" fillId="0" borderId="15" xfId="3" applyFont="1" applyBorder="1" applyProtection="1"/>
    <xf numFmtId="0" fontId="69" fillId="0" borderId="3" xfId="3" applyFont="1" applyBorder="1" applyAlignment="1" applyProtection="1">
      <alignment horizontal="center" vertical="center"/>
    </xf>
    <xf numFmtId="0" fontId="43" fillId="0" borderId="0" xfId="0" applyFont="1" applyAlignment="1">
      <alignment horizontal="left" vertical="center" indent="1"/>
    </xf>
    <xf numFmtId="0" fontId="44" fillId="0" borderId="0" xfId="0" applyFont="1" applyAlignment="1">
      <alignment horizontal="left" vertical="center" indent="1"/>
    </xf>
    <xf numFmtId="3" fontId="12" fillId="3" borderId="1" xfId="3" applyNumberFormat="1" applyFont="1" applyFill="1" applyBorder="1" applyProtection="1">
      <protection locked="0"/>
    </xf>
    <xf numFmtId="3" fontId="17" fillId="4" borderId="17" xfId="0" applyNumberFormat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vertical="center"/>
    </xf>
    <xf numFmtId="0" fontId="5" fillId="3" borderId="0" xfId="1" applyFont="1" applyFill="1" applyAlignment="1">
      <alignment horizontal="center" vertical="center"/>
    </xf>
    <xf numFmtId="168" fontId="5" fillId="3" borderId="0" xfId="1" applyNumberFormat="1" applyFont="1" applyFill="1" applyAlignment="1">
      <alignment horizontal="right" vertical="center"/>
    </xf>
    <xf numFmtId="168" fontId="5" fillId="3" borderId="0" xfId="1" applyNumberFormat="1" applyFont="1" applyFill="1" applyBorder="1" applyAlignment="1">
      <alignment horizontal="right" vertical="center"/>
    </xf>
    <xf numFmtId="0" fontId="16" fillId="3" borderId="17" xfId="1" applyFont="1" applyFill="1" applyBorder="1" applyAlignment="1">
      <alignment vertical="center"/>
    </xf>
    <xf numFmtId="0" fontId="4" fillId="3" borderId="17" xfId="1" applyFont="1" applyFill="1" applyBorder="1" applyAlignment="1">
      <alignment vertical="center"/>
    </xf>
    <xf numFmtId="168" fontId="18" fillId="6" borderId="17" xfId="0" applyNumberFormat="1" applyFont="1" applyFill="1" applyBorder="1" applyAlignment="1">
      <alignment horizontal="right" vertical="center"/>
    </xf>
    <xf numFmtId="3" fontId="18" fillId="6" borderId="20" xfId="0" applyNumberFormat="1" applyFont="1" applyFill="1" applyBorder="1" applyAlignment="1">
      <alignment horizontal="center" vertical="center"/>
    </xf>
    <xf numFmtId="3" fontId="18" fillId="14" borderId="17" xfId="0" applyNumberFormat="1" applyFont="1" applyFill="1" applyBorder="1" applyAlignment="1">
      <alignment horizontal="center" vertical="center"/>
    </xf>
    <xf numFmtId="168" fontId="18" fillId="14" borderId="17" xfId="0" applyNumberFormat="1" applyFont="1" applyFill="1" applyBorder="1" applyAlignment="1">
      <alignment horizontal="right" vertical="center"/>
    </xf>
    <xf numFmtId="3" fontId="18" fillId="14" borderId="20" xfId="0" applyNumberFormat="1" applyFont="1" applyFill="1" applyBorder="1" applyAlignment="1">
      <alignment horizontal="center" vertical="center"/>
    </xf>
    <xf numFmtId="3" fontId="71" fillId="14" borderId="17" xfId="0" applyNumberFormat="1" applyFont="1" applyFill="1" applyBorder="1" applyAlignment="1">
      <alignment horizontal="center" vertical="center"/>
    </xf>
    <xf numFmtId="0" fontId="12" fillId="3" borderId="0" xfId="1" applyFont="1" applyFill="1" applyBorder="1" applyAlignment="1">
      <alignment horizontal="right"/>
    </xf>
    <xf numFmtId="0" fontId="5" fillId="3" borderId="19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center" vertical="center"/>
    </xf>
    <xf numFmtId="0" fontId="5" fillId="3" borderId="19" xfId="1" applyFont="1" applyFill="1" applyBorder="1" applyAlignment="1">
      <alignment vertical="center"/>
    </xf>
    <xf numFmtId="0" fontId="17" fillId="3" borderId="0" xfId="1" applyFont="1" applyFill="1" applyBorder="1" applyAlignment="1">
      <alignment horizontal="right" vertical="center"/>
    </xf>
    <xf numFmtId="3" fontId="17" fillId="3" borderId="67" xfId="1" applyNumberFormat="1" applyFont="1" applyFill="1" applyBorder="1" applyAlignment="1">
      <alignment horizontal="right" vertical="center"/>
    </xf>
    <xf numFmtId="4" fontId="17" fillId="0" borderId="67" xfId="1" applyNumberFormat="1" applyFont="1" applyFill="1" applyBorder="1" applyAlignment="1">
      <alignment horizontal="right" vertical="center"/>
    </xf>
    <xf numFmtId="3" fontId="8" fillId="0" borderId="67" xfId="1" applyNumberFormat="1" applyFont="1" applyFill="1" applyBorder="1" applyAlignment="1">
      <alignment horizontal="right" vertical="center"/>
    </xf>
    <xf numFmtId="168" fontId="17" fillId="0" borderId="67" xfId="1" applyNumberFormat="1" applyFont="1" applyFill="1" applyBorder="1" applyAlignment="1">
      <alignment vertical="center"/>
    </xf>
    <xf numFmtId="3" fontId="8" fillId="3" borderId="67" xfId="1" applyNumberFormat="1" applyFont="1" applyFill="1" applyBorder="1" applyAlignment="1">
      <alignment horizontal="right" vertical="center"/>
    </xf>
    <xf numFmtId="3" fontId="5" fillId="3" borderId="67" xfId="1" applyNumberFormat="1" applyFont="1" applyFill="1" applyBorder="1" applyAlignment="1">
      <alignment horizontal="center" vertical="center"/>
    </xf>
    <xf numFmtId="168" fontId="8" fillId="3" borderId="67" xfId="1" applyNumberFormat="1" applyFont="1" applyFill="1" applyBorder="1" applyAlignment="1">
      <alignment vertical="center"/>
    </xf>
    <xf numFmtId="3" fontId="5" fillId="3" borderId="71" xfId="1" applyNumberFormat="1" applyFont="1" applyFill="1" applyBorder="1" applyAlignment="1">
      <alignment vertical="center"/>
    </xf>
    <xf numFmtId="0" fontId="5" fillId="3" borderId="67" xfId="1" applyFont="1" applyFill="1" applyBorder="1" applyAlignment="1">
      <alignment vertical="center"/>
    </xf>
    <xf numFmtId="3" fontId="5" fillId="3" borderId="67" xfId="1" applyNumberFormat="1" applyFont="1" applyFill="1" applyBorder="1" applyAlignment="1">
      <alignment vertical="center"/>
    </xf>
    <xf numFmtId="3" fontId="17" fillId="3" borderId="71" xfId="1" applyNumberFormat="1" applyFont="1" applyFill="1" applyBorder="1" applyAlignment="1">
      <alignment vertical="center"/>
    </xf>
    <xf numFmtId="3" fontId="17" fillId="3" borderId="67" xfId="1" applyNumberFormat="1" applyFont="1" applyFill="1" applyBorder="1" applyAlignment="1">
      <alignment vertical="center"/>
    </xf>
    <xf numFmtId="168" fontId="28" fillId="3" borderId="0" xfId="1" applyNumberFormat="1" applyFont="1" applyFill="1" applyAlignment="1">
      <alignment vertical="center"/>
    </xf>
    <xf numFmtId="169" fontId="28" fillId="3" borderId="0" xfId="1" applyNumberFormat="1" applyFont="1" applyFill="1" applyAlignment="1">
      <alignment horizontal="center" vertical="center"/>
    </xf>
    <xf numFmtId="168" fontId="28" fillId="3" borderId="0" xfId="1" applyNumberFormat="1" applyFont="1" applyFill="1" applyAlignment="1">
      <alignment horizontal="right" vertical="center"/>
    </xf>
    <xf numFmtId="169" fontId="28" fillId="3" borderId="19" xfId="1" applyNumberFormat="1" applyFont="1" applyFill="1" applyBorder="1" applyAlignment="1">
      <alignment horizontal="center" vertical="center"/>
    </xf>
    <xf numFmtId="3" fontId="28" fillId="3" borderId="0" xfId="1" applyNumberFormat="1" applyFont="1" applyFill="1" applyBorder="1" applyAlignment="1">
      <alignment horizontal="center" vertical="center"/>
    </xf>
    <xf numFmtId="168" fontId="28" fillId="3" borderId="0" xfId="1" applyNumberFormat="1" applyFont="1" applyFill="1" applyBorder="1" applyAlignment="1">
      <alignment horizontal="right" vertical="center"/>
    </xf>
    <xf numFmtId="3" fontId="28" fillId="3" borderId="19" xfId="1" applyNumberFormat="1" applyFont="1" applyFill="1" applyBorder="1" applyAlignment="1">
      <alignment vertical="center"/>
    </xf>
    <xf numFmtId="0" fontId="24" fillId="3" borderId="0" xfId="1" applyNumberFormat="1" applyFont="1" applyFill="1" applyBorder="1" applyAlignment="1">
      <alignment horizontal="left" vertical="center"/>
    </xf>
    <xf numFmtId="3" fontId="4" fillId="3" borderId="0" xfId="1" applyNumberFormat="1" applyFont="1" applyFill="1" applyBorder="1" applyAlignment="1">
      <alignment vertical="center"/>
    </xf>
    <xf numFmtId="3" fontId="26" fillId="3" borderId="0" xfId="1" applyNumberFormat="1" applyFont="1" applyFill="1" applyBorder="1" applyAlignment="1">
      <alignment horizontal="left" vertical="center"/>
    </xf>
    <xf numFmtId="168" fontId="27" fillId="3" borderId="17" xfId="1" applyNumberFormat="1" applyFont="1" applyFill="1" applyBorder="1" applyAlignment="1">
      <alignment vertical="center"/>
    </xf>
    <xf numFmtId="9" fontId="26" fillId="3" borderId="17" xfId="2" applyFont="1" applyFill="1" applyBorder="1" applyAlignment="1">
      <alignment horizontal="center" vertical="center"/>
    </xf>
    <xf numFmtId="168" fontId="27" fillId="3" borderId="17" xfId="1" applyNumberFormat="1" applyFont="1" applyFill="1" applyBorder="1" applyAlignment="1">
      <alignment horizontal="right" vertical="center"/>
    </xf>
    <xf numFmtId="9" fontId="26" fillId="3" borderId="20" xfId="2" applyFont="1" applyFill="1" applyBorder="1" applyAlignment="1">
      <alignment horizontal="center" vertical="center"/>
    </xf>
    <xf numFmtId="9" fontId="26" fillId="3" borderId="20" xfId="2" applyFont="1" applyFill="1" applyBorder="1" applyAlignment="1">
      <alignment vertical="center"/>
    </xf>
    <xf numFmtId="9" fontId="26" fillId="3" borderId="0" xfId="2" applyFont="1" applyFill="1" applyBorder="1" applyAlignment="1">
      <alignment vertical="center"/>
    </xf>
    <xf numFmtId="3" fontId="27" fillId="3" borderId="0" xfId="1" applyNumberFormat="1" applyFont="1" applyFill="1" applyBorder="1" applyAlignment="1">
      <alignment vertical="center"/>
    </xf>
    <xf numFmtId="9" fontId="27" fillId="3" borderId="0" xfId="2" applyFont="1" applyFill="1" applyBorder="1" applyAlignment="1">
      <alignment vertical="center"/>
    </xf>
    <xf numFmtId="9" fontId="26" fillId="3" borderId="0" xfId="2" applyFont="1" applyFill="1" applyBorder="1" applyAlignment="1">
      <alignment horizontal="center" vertical="center"/>
    </xf>
    <xf numFmtId="168" fontId="27" fillId="3" borderId="0" xfId="1" applyNumberFormat="1" applyFont="1" applyFill="1" applyBorder="1" applyAlignment="1">
      <alignment horizontal="right" vertical="center"/>
    </xf>
    <xf numFmtId="9" fontId="26" fillId="3" borderId="19" xfId="2" applyFont="1" applyFill="1" applyBorder="1" applyAlignment="1">
      <alignment horizontal="center" vertical="center"/>
    </xf>
    <xf numFmtId="170" fontId="72" fillId="3" borderId="0" xfId="2" applyNumberFormat="1" applyFont="1" applyFill="1" applyBorder="1" applyAlignment="1">
      <alignment horizontal="center"/>
    </xf>
    <xf numFmtId="3" fontId="8" fillId="3" borderId="0" xfId="1" applyNumberFormat="1" applyFont="1" applyFill="1" applyBorder="1" applyAlignment="1">
      <alignment vertical="center"/>
    </xf>
    <xf numFmtId="9" fontId="26" fillId="3" borderId="19" xfId="2" applyFont="1" applyFill="1" applyBorder="1" applyAlignment="1">
      <alignment vertical="center"/>
    </xf>
    <xf numFmtId="2" fontId="8" fillId="3" borderId="0" xfId="1" applyNumberFormat="1" applyFont="1" applyFill="1" applyAlignment="1">
      <alignment horizontal="center" vertical="center"/>
    </xf>
    <xf numFmtId="168" fontId="8" fillId="3" borderId="0" xfId="1" applyNumberFormat="1" applyFont="1" applyFill="1" applyAlignment="1">
      <alignment horizontal="right" vertical="center"/>
    </xf>
    <xf numFmtId="2" fontId="8" fillId="3" borderId="19" xfId="1" applyNumberFormat="1" applyFont="1" applyFill="1" applyBorder="1" applyAlignment="1">
      <alignment horizontal="center" vertical="center"/>
    </xf>
    <xf numFmtId="2" fontId="73" fillId="3" borderId="0" xfId="1" applyNumberFormat="1" applyFont="1" applyFill="1" applyBorder="1" applyAlignment="1">
      <alignment horizontal="center" vertical="top"/>
    </xf>
    <xf numFmtId="168" fontId="8" fillId="3" borderId="0" xfId="1" applyNumberFormat="1" applyFont="1" applyFill="1" applyBorder="1" applyAlignment="1">
      <alignment horizontal="right" vertical="center"/>
    </xf>
    <xf numFmtId="3" fontId="17" fillId="0" borderId="67" xfId="1" applyNumberFormat="1" applyFont="1" applyFill="1" applyBorder="1" applyAlignment="1">
      <alignment horizontal="center" vertical="center"/>
    </xf>
    <xf numFmtId="168" fontId="8" fillId="0" borderId="67" xfId="1" applyNumberFormat="1" applyFont="1" applyFill="1" applyBorder="1" applyAlignment="1">
      <alignment vertical="center"/>
    </xf>
    <xf numFmtId="168" fontId="12" fillId="3" borderId="67" xfId="1" applyNumberFormat="1" applyFont="1" applyFill="1" applyBorder="1" applyAlignment="1">
      <alignment vertical="center"/>
    </xf>
    <xf numFmtId="3" fontId="17" fillId="0" borderId="72" xfId="1" applyNumberFormat="1" applyFont="1" applyFill="1" applyBorder="1" applyAlignment="1">
      <alignment horizontal="center" vertical="center"/>
    </xf>
    <xf numFmtId="3" fontId="12" fillId="3" borderId="67" xfId="1" applyNumberFormat="1" applyFont="1" applyFill="1" applyBorder="1" applyAlignment="1">
      <alignment horizontal="right" vertical="center"/>
    </xf>
    <xf numFmtId="168" fontId="17" fillId="3" borderId="67" xfId="1" applyNumberFormat="1" applyFont="1" applyFill="1" applyBorder="1" applyAlignment="1">
      <alignment vertical="center"/>
    </xf>
    <xf numFmtId="3" fontId="17" fillId="3" borderId="67" xfId="1" applyNumberFormat="1" applyFont="1" applyFill="1" applyBorder="1" applyAlignment="1">
      <alignment horizontal="center" vertical="center"/>
    </xf>
    <xf numFmtId="3" fontId="5" fillId="3" borderId="0" xfId="1" applyNumberFormat="1" applyFont="1" applyFill="1" applyAlignment="1">
      <alignment vertical="center"/>
    </xf>
    <xf numFmtId="3" fontId="17" fillId="3" borderId="81" xfId="1" applyNumberFormat="1" applyFont="1" applyFill="1" applyBorder="1" applyAlignment="1">
      <alignment horizontal="center" vertical="center"/>
    </xf>
    <xf numFmtId="169" fontId="28" fillId="3" borderId="82" xfId="1" applyNumberFormat="1" applyFont="1" applyFill="1" applyBorder="1" applyAlignment="1">
      <alignment horizontal="center" vertical="center"/>
    </xf>
    <xf numFmtId="4" fontId="17" fillId="3" borderId="67" xfId="1" applyNumberFormat="1" applyFont="1" applyFill="1" applyBorder="1" applyAlignment="1">
      <alignment horizontal="right" vertical="center"/>
    </xf>
    <xf numFmtId="168" fontId="17" fillId="3" borderId="67" xfId="1" applyNumberFormat="1" applyFont="1" applyFill="1" applyBorder="1" applyAlignment="1">
      <alignment horizontal="center" vertical="center"/>
    </xf>
    <xf numFmtId="168" fontId="8" fillId="3" borderId="67" xfId="1" applyNumberFormat="1" applyFont="1" applyFill="1" applyBorder="1" applyAlignment="1">
      <alignment horizontal="right" vertical="center"/>
    </xf>
    <xf numFmtId="3" fontId="17" fillId="3" borderId="83" xfId="1" applyNumberFormat="1" applyFont="1" applyFill="1" applyBorder="1" applyAlignment="1">
      <alignment vertical="center"/>
    </xf>
    <xf numFmtId="3" fontId="17" fillId="3" borderId="75" xfId="1" applyNumberFormat="1" applyFont="1" applyFill="1" applyBorder="1" applyAlignment="1">
      <alignment horizontal="center" vertical="center"/>
    </xf>
    <xf numFmtId="3" fontId="17" fillId="3" borderId="75" xfId="1" applyNumberFormat="1" applyFont="1" applyFill="1" applyBorder="1" applyAlignment="1">
      <alignment vertical="center"/>
    </xf>
    <xf numFmtId="168" fontId="8" fillId="3" borderId="84" xfId="1" applyNumberFormat="1" applyFont="1" applyFill="1" applyBorder="1" applyAlignment="1">
      <alignment vertical="center"/>
    </xf>
    <xf numFmtId="3" fontId="17" fillId="3" borderId="77" xfId="1" applyNumberFormat="1" applyFont="1" applyFill="1" applyBorder="1" applyAlignment="1">
      <alignment vertical="center"/>
    </xf>
    <xf numFmtId="168" fontId="8" fillId="3" borderId="84" xfId="1" applyNumberFormat="1" applyFont="1" applyFill="1" applyBorder="1" applyAlignment="1">
      <alignment horizontal="right" vertical="center"/>
    </xf>
    <xf numFmtId="3" fontId="17" fillId="3" borderId="71" xfId="1" applyNumberFormat="1" applyFont="1" applyFill="1" applyBorder="1" applyAlignment="1">
      <alignment horizontal="center" vertical="center"/>
    </xf>
    <xf numFmtId="3" fontId="28" fillId="3" borderId="0" xfId="1" applyNumberFormat="1" applyFont="1" applyFill="1" applyAlignment="1">
      <alignment horizontal="center" vertical="center"/>
    </xf>
    <xf numFmtId="0" fontId="5" fillId="3" borderId="0" xfId="1" applyFont="1" applyFill="1" applyAlignment="1">
      <alignment horizontal="left" vertical="center"/>
    </xf>
    <xf numFmtId="168" fontId="16" fillId="3" borderId="0" xfId="1" applyNumberFormat="1" applyFont="1" applyFill="1" applyAlignment="1">
      <alignment horizontal="right" vertical="center"/>
    </xf>
    <xf numFmtId="3" fontId="5" fillId="3" borderId="0" xfId="1" applyNumberFormat="1" applyFont="1" applyFill="1" applyAlignment="1">
      <alignment horizontal="right" vertical="center"/>
    </xf>
    <xf numFmtId="49" fontId="5" fillId="3" borderId="0" xfId="1" applyNumberFormat="1" applyFont="1" applyFill="1" applyAlignment="1">
      <alignment horizontal="right" vertical="center"/>
    </xf>
    <xf numFmtId="3" fontId="17" fillId="0" borderId="67" xfId="1" applyNumberFormat="1" applyFont="1" applyFill="1" applyBorder="1" applyAlignment="1">
      <alignment vertical="center"/>
    </xf>
    <xf numFmtId="3" fontId="4" fillId="3" borderId="17" xfId="1" applyNumberFormat="1" applyFont="1" applyFill="1" applyBorder="1" applyAlignment="1">
      <alignment horizontal="left" vertical="center"/>
    </xf>
    <xf numFmtId="168" fontId="12" fillId="0" borderId="67" xfId="1" applyNumberFormat="1" applyFont="1" applyFill="1" applyBorder="1" applyAlignment="1">
      <alignment vertical="center"/>
    </xf>
    <xf numFmtId="3" fontId="17" fillId="0" borderId="81" xfId="1" applyNumberFormat="1" applyFont="1" applyFill="1" applyBorder="1" applyAlignment="1">
      <alignment horizontal="center" vertical="center"/>
    </xf>
    <xf numFmtId="9" fontId="26" fillId="3" borderId="18" xfId="2" applyFont="1" applyFill="1" applyBorder="1" applyAlignment="1">
      <alignment horizontal="center" vertical="center"/>
    </xf>
    <xf numFmtId="2" fontId="8" fillId="0" borderId="85" xfId="1" applyNumberFormat="1" applyFont="1" applyFill="1" applyBorder="1" applyAlignment="1">
      <alignment horizontal="center" vertical="center"/>
    </xf>
    <xf numFmtId="168" fontId="8" fillId="0" borderId="86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Alignment="1">
      <alignment vertical="center"/>
    </xf>
    <xf numFmtId="168" fontId="5" fillId="3" borderId="0" xfId="1" applyNumberFormat="1" applyFont="1" applyFill="1" applyAlignment="1">
      <alignment vertical="center"/>
    </xf>
    <xf numFmtId="168" fontId="5" fillId="3" borderId="0" xfId="1" applyNumberFormat="1" applyFont="1" applyFill="1" applyBorder="1" applyAlignment="1">
      <alignment vertical="center"/>
    </xf>
    <xf numFmtId="168" fontId="27" fillId="3" borderId="0" xfId="1" applyNumberFormat="1" applyFont="1" applyFill="1" applyBorder="1" applyAlignment="1">
      <alignment vertical="center"/>
    </xf>
    <xf numFmtId="3" fontId="17" fillId="6" borderId="17" xfId="0" applyNumberFormat="1" applyFont="1" applyFill="1" applyBorder="1" applyAlignment="1">
      <alignment vertical="center"/>
    </xf>
    <xf numFmtId="3" fontId="18" fillId="4" borderId="20" xfId="0" applyNumberFormat="1" applyFont="1" applyFill="1" applyBorder="1" applyAlignment="1">
      <alignment horizontal="center" vertical="center"/>
    </xf>
    <xf numFmtId="3" fontId="17" fillId="0" borderId="71" xfId="1" applyNumberFormat="1" applyFont="1" applyFill="1" applyBorder="1" applyAlignment="1">
      <alignment horizontal="center" vertical="center"/>
    </xf>
    <xf numFmtId="3" fontId="17" fillId="0" borderId="89" xfId="1" applyNumberFormat="1" applyFont="1" applyFill="1" applyBorder="1" applyAlignment="1">
      <alignment horizontal="center" vertical="center"/>
    </xf>
    <xf numFmtId="169" fontId="28" fillId="3" borderId="90" xfId="1" applyNumberFormat="1" applyFont="1" applyFill="1" applyBorder="1" applyAlignment="1">
      <alignment horizontal="center" vertical="center"/>
    </xf>
    <xf numFmtId="2" fontId="73" fillId="3" borderId="0" xfId="1" applyNumberFormat="1" applyFont="1" applyFill="1" applyAlignment="1">
      <alignment horizontal="center" vertical="top"/>
    </xf>
    <xf numFmtId="2" fontId="8" fillId="3" borderId="86" xfId="1" applyNumberFormat="1" applyFont="1" applyFill="1" applyBorder="1" applyAlignment="1">
      <alignment horizontal="center" vertical="center"/>
    </xf>
    <xf numFmtId="2" fontId="8" fillId="3" borderId="19" xfId="1" applyNumberFormat="1" applyFont="1" applyFill="1" applyBorder="1" applyAlignment="1">
      <alignment vertical="center"/>
    </xf>
    <xf numFmtId="3" fontId="17" fillId="3" borderId="89" xfId="1" applyNumberFormat="1" applyFont="1" applyFill="1" applyBorder="1" applyAlignment="1">
      <alignment horizontal="center" vertical="center"/>
    </xf>
    <xf numFmtId="168" fontId="8" fillId="3" borderId="80" xfId="1" applyNumberFormat="1" applyFont="1" applyFill="1" applyBorder="1" applyAlignment="1">
      <alignment horizontal="right" vertical="center"/>
    </xf>
    <xf numFmtId="3" fontId="17" fillId="3" borderId="83" xfId="1" applyNumberFormat="1" applyFont="1" applyFill="1" applyBorder="1" applyAlignment="1">
      <alignment horizontal="center" vertical="center"/>
    </xf>
    <xf numFmtId="2" fontId="8" fillId="3" borderId="0" xfId="1" applyNumberFormat="1" applyFont="1" applyFill="1" applyBorder="1" applyAlignment="1">
      <alignment horizontal="center" vertical="center"/>
    </xf>
    <xf numFmtId="3" fontId="17" fillId="3" borderId="77" xfId="1" applyNumberFormat="1" applyFont="1" applyFill="1" applyBorder="1" applyAlignment="1">
      <alignment horizontal="center" vertical="center"/>
    </xf>
    <xf numFmtId="168" fontId="8" fillId="3" borderId="75" xfId="1" applyNumberFormat="1" applyFont="1" applyFill="1" applyBorder="1" applyAlignment="1">
      <alignment horizontal="right" vertical="center"/>
    </xf>
    <xf numFmtId="169" fontId="28" fillId="3" borderId="0" xfId="1" applyNumberFormat="1" applyFont="1" applyFill="1" applyBorder="1" applyAlignment="1">
      <alignment horizontal="center" vertical="center"/>
    </xf>
    <xf numFmtId="3" fontId="8" fillId="3" borderId="84" xfId="1" applyNumberFormat="1" applyFont="1" applyFill="1" applyBorder="1" applyAlignment="1">
      <alignment vertical="center"/>
    </xf>
    <xf numFmtId="3" fontId="17" fillId="3" borderId="81" xfId="1" applyNumberFormat="1" applyFont="1" applyFill="1" applyBorder="1" applyAlignment="1">
      <alignment vertical="center"/>
    </xf>
    <xf numFmtId="3" fontId="8" fillId="3" borderId="67" xfId="1" applyNumberFormat="1" applyFont="1" applyFill="1" applyBorder="1" applyAlignment="1">
      <alignment vertical="center"/>
    </xf>
    <xf numFmtId="3" fontId="17" fillId="3" borderId="92" xfId="1" applyNumberFormat="1" applyFont="1" applyFill="1" applyBorder="1" applyAlignment="1">
      <alignment horizontal="center" vertical="center"/>
    </xf>
    <xf numFmtId="168" fontId="5" fillId="3" borderId="0" xfId="1" applyNumberFormat="1" applyFont="1" applyFill="1" applyAlignment="1">
      <alignment horizontal="left" vertical="center"/>
    </xf>
    <xf numFmtId="0" fontId="5" fillId="3" borderId="0" xfId="1" applyNumberFormat="1" applyFont="1" applyFill="1" applyAlignment="1">
      <alignment vertical="center"/>
    </xf>
    <xf numFmtId="0" fontId="5" fillId="3" borderId="0" xfId="1" applyNumberFormat="1" applyFont="1" applyFill="1" applyAlignment="1">
      <alignment horizontal="right" vertical="center"/>
    </xf>
    <xf numFmtId="168" fontId="18" fillId="6" borderId="16" xfId="0" applyNumberFormat="1" applyFont="1" applyFill="1" applyBorder="1" applyAlignment="1">
      <alignment horizontal="right" vertical="center"/>
    </xf>
    <xf numFmtId="168" fontId="5" fillId="3" borderId="15" xfId="1" applyNumberFormat="1" applyFont="1" applyFill="1" applyBorder="1" applyAlignment="1">
      <alignment horizontal="right" vertical="center"/>
    </xf>
    <xf numFmtId="166" fontId="17" fillId="0" borderId="67" xfId="1" applyNumberFormat="1" applyFont="1" applyFill="1" applyBorder="1" applyAlignment="1">
      <alignment horizontal="right" vertical="center"/>
    </xf>
    <xf numFmtId="166" fontId="17" fillId="3" borderId="67" xfId="1" applyNumberFormat="1" applyFont="1" applyFill="1" applyBorder="1" applyAlignment="1">
      <alignment horizontal="right" vertical="center"/>
    </xf>
    <xf numFmtId="168" fontId="8" fillId="3" borderId="94" xfId="1" applyNumberFormat="1" applyFont="1" applyFill="1" applyBorder="1" applyAlignment="1">
      <alignment horizontal="right" vertical="center"/>
    </xf>
    <xf numFmtId="168" fontId="28" fillId="3" borderId="15" xfId="1" applyNumberFormat="1" applyFont="1" applyFill="1" applyBorder="1" applyAlignment="1">
      <alignment horizontal="right" vertical="center"/>
    </xf>
    <xf numFmtId="168" fontId="27" fillId="3" borderId="16" xfId="1" applyNumberFormat="1" applyFont="1" applyFill="1" applyBorder="1" applyAlignment="1">
      <alignment horizontal="right" vertical="center"/>
    </xf>
    <xf numFmtId="168" fontId="27" fillId="3" borderId="15" xfId="1" applyNumberFormat="1" applyFont="1" applyFill="1" applyBorder="1" applyAlignment="1">
      <alignment horizontal="right" vertical="center"/>
    </xf>
    <xf numFmtId="168" fontId="8" fillId="3" borderId="15" xfId="1" applyNumberFormat="1" applyFont="1" applyFill="1" applyBorder="1" applyAlignment="1">
      <alignment horizontal="right" vertical="center"/>
    </xf>
    <xf numFmtId="3" fontId="17" fillId="0" borderId="67" xfId="1" applyNumberFormat="1" applyFont="1" applyFill="1" applyBorder="1" applyAlignment="1">
      <alignment horizontal="right" vertical="center"/>
    </xf>
    <xf numFmtId="166" fontId="5" fillId="3" borderId="0" xfId="1" applyNumberFormat="1" applyFont="1" applyFill="1" applyBorder="1" applyAlignment="1">
      <alignment vertical="center"/>
    </xf>
    <xf numFmtId="166" fontId="5" fillId="3" borderId="0" xfId="1" applyNumberFormat="1" applyFont="1" applyFill="1" applyAlignment="1">
      <alignment vertical="center"/>
    </xf>
    <xf numFmtId="171" fontId="27" fillId="3" borderId="0" xfId="1" applyNumberFormat="1" applyFont="1" applyFill="1" applyBorder="1" applyAlignment="1">
      <alignment horizontal="right" vertical="center"/>
    </xf>
    <xf numFmtId="169" fontId="5" fillId="3" borderId="0" xfId="1" applyNumberFormat="1" applyFont="1" applyFill="1" applyAlignment="1">
      <alignment horizontal="center" vertical="center"/>
    </xf>
    <xf numFmtId="168" fontId="5" fillId="3" borderId="0" xfId="1" applyNumberFormat="1" applyFont="1" applyFill="1" applyAlignment="1">
      <alignment horizontal="center" vertical="center"/>
    </xf>
    <xf numFmtId="0" fontId="14" fillId="3" borderId="95" xfId="0" applyFont="1" applyFill="1" applyBorder="1" applyAlignment="1">
      <alignment horizontal="right" vertical="center" indent="1"/>
    </xf>
    <xf numFmtId="0" fontId="14" fillId="3" borderId="95" xfId="0" applyFont="1" applyFill="1" applyBorder="1" applyAlignment="1">
      <alignment vertical="center"/>
    </xf>
    <xf numFmtId="3" fontId="14" fillId="3" borderId="95" xfId="0" applyNumberFormat="1" applyFont="1" applyFill="1" applyBorder="1" applyAlignment="1">
      <alignment vertical="center"/>
    </xf>
    <xf numFmtId="3" fontId="31" fillId="3" borderId="95" xfId="0" applyNumberFormat="1" applyFont="1" applyFill="1" applyBorder="1" applyAlignment="1">
      <alignment vertical="center"/>
    </xf>
    <xf numFmtId="0" fontId="17" fillId="6" borderId="17" xfId="0" applyFont="1" applyFill="1" applyBorder="1" applyAlignment="1">
      <alignment horizontal="right" vertical="center"/>
    </xf>
    <xf numFmtId="3" fontId="0" fillId="3" borderId="95" xfId="0" applyNumberFormat="1" applyFont="1" applyFill="1" applyBorder="1" applyAlignment="1">
      <alignment vertical="center"/>
    </xf>
    <xf numFmtId="0" fontId="17" fillId="4" borderId="17" xfId="0" applyFont="1" applyFill="1" applyBorder="1" applyAlignment="1">
      <alignment horizontal="right" vertical="center"/>
    </xf>
    <xf numFmtId="0" fontId="17" fillId="7" borderId="17" xfId="0" applyFont="1" applyFill="1" applyBorder="1" applyAlignment="1">
      <alignment horizontal="right" vertical="center"/>
    </xf>
    <xf numFmtId="0" fontId="17" fillId="5" borderId="17" xfId="0" applyFont="1" applyFill="1" applyBorder="1" applyAlignment="1">
      <alignment horizontal="right" vertical="center"/>
    </xf>
    <xf numFmtId="0" fontId="18" fillId="16" borderId="17" xfId="0" applyFont="1" applyFill="1" applyBorder="1" applyAlignment="1">
      <alignment horizontal="right" vertical="center"/>
    </xf>
    <xf numFmtId="167" fontId="38" fillId="3" borderId="63" xfId="0" applyNumberFormat="1" applyFont="1" applyFill="1" applyBorder="1" applyAlignment="1">
      <alignment horizontal="right" vertical="center"/>
    </xf>
    <xf numFmtId="171" fontId="5" fillId="3" borderId="0" xfId="1" applyNumberFormat="1" applyFont="1" applyFill="1" applyAlignment="1">
      <alignment horizontal="right" vertical="center"/>
    </xf>
    <xf numFmtId="0" fontId="17" fillId="3" borderId="17" xfId="0" applyFont="1" applyFill="1" applyBorder="1" applyAlignment="1">
      <alignment horizontal="left" vertical="center" indent="1"/>
    </xf>
    <xf numFmtId="3" fontId="17" fillId="3" borderId="68" xfId="1" applyNumberFormat="1" applyFont="1" applyFill="1" applyBorder="1" applyAlignment="1">
      <alignment horizontal="center" vertical="center"/>
    </xf>
    <xf numFmtId="3" fontId="17" fillId="3" borderId="75" xfId="1" applyNumberFormat="1" applyFont="1" applyFill="1" applyBorder="1" applyAlignment="1">
      <alignment horizontal="center" vertical="center"/>
    </xf>
    <xf numFmtId="168" fontId="17" fillId="3" borderId="68" xfId="1" applyNumberFormat="1" applyFont="1" applyFill="1" applyBorder="1" applyAlignment="1">
      <alignment horizontal="center" vertical="center"/>
    </xf>
    <xf numFmtId="168" fontId="17" fillId="3" borderId="75" xfId="1" applyNumberFormat="1" applyFont="1" applyFill="1" applyBorder="1" applyAlignment="1">
      <alignment horizontal="center" vertical="center"/>
    </xf>
    <xf numFmtId="3" fontId="17" fillId="3" borderId="72" xfId="1" applyNumberFormat="1" applyFont="1" applyFill="1" applyBorder="1" applyAlignment="1">
      <alignment horizontal="center" vertical="center"/>
    </xf>
    <xf numFmtId="168" fontId="17" fillId="3" borderId="72" xfId="1" applyNumberFormat="1" applyFont="1" applyFill="1" applyBorder="1" applyAlignment="1">
      <alignment horizontal="center" vertical="center"/>
    </xf>
    <xf numFmtId="3" fontId="17" fillId="3" borderId="70" xfId="1" applyNumberFormat="1" applyFont="1" applyFill="1" applyBorder="1" applyAlignment="1">
      <alignment horizontal="center" vertical="center"/>
    </xf>
    <xf numFmtId="3" fontId="17" fillId="3" borderId="77" xfId="1" applyNumberFormat="1" applyFont="1" applyFill="1" applyBorder="1" applyAlignment="1">
      <alignment horizontal="center" vertical="center"/>
    </xf>
    <xf numFmtId="168" fontId="8" fillId="3" borderId="69" xfId="1" applyNumberFormat="1" applyFont="1" applyFill="1" applyBorder="1" applyAlignment="1">
      <alignment horizontal="center" vertical="center"/>
    </xf>
    <xf numFmtId="168" fontId="8" fillId="3" borderId="73" xfId="1" applyNumberFormat="1" applyFont="1" applyFill="1" applyBorder="1" applyAlignment="1">
      <alignment horizontal="center" vertical="center"/>
    </xf>
    <xf numFmtId="168" fontId="8" fillId="3" borderId="76" xfId="1" applyNumberFormat="1" applyFont="1" applyFill="1" applyBorder="1" applyAlignment="1">
      <alignment horizontal="center" vertical="center"/>
    </xf>
    <xf numFmtId="168" fontId="8" fillId="3" borderId="68" xfId="1" applyNumberFormat="1" applyFont="1" applyFill="1" applyBorder="1" applyAlignment="1">
      <alignment horizontal="center" vertical="center"/>
    </xf>
    <xf numFmtId="168" fontId="8" fillId="3" borderId="72" xfId="1" applyNumberFormat="1" applyFont="1" applyFill="1" applyBorder="1" applyAlignment="1">
      <alignment horizontal="center" vertical="center"/>
    </xf>
    <xf numFmtId="168" fontId="8" fillId="3" borderId="75" xfId="1" applyNumberFormat="1" applyFont="1" applyFill="1" applyBorder="1" applyAlignment="1">
      <alignment horizontal="center" vertical="center"/>
    </xf>
    <xf numFmtId="3" fontId="17" fillId="0" borderId="72" xfId="1" applyNumberFormat="1" applyFont="1" applyFill="1" applyBorder="1" applyAlignment="1">
      <alignment horizontal="center" vertical="center"/>
    </xf>
    <xf numFmtId="3" fontId="17" fillId="0" borderId="75" xfId="1" applyNumberFormat="1" applyFont="1" applyFill="1" applyBorder="1" applyAlignment="1">
      <alignment horizontal="center" vertical="center"/>
    </xf>
    <xf numFmtId="168" fontId="8" fillId="3" borderId="78" xfId="1" applyNumberFormat="1" applyFont="1" applyFill="1" applyBorder="1" applyAlignment="1">
      <alignment horizontal="center" vertical="center"/>
    </xf>
    <xf numFmtId="168" fontId="8" fillId="3" borderId="79" xfId="1" applyNumberFormat="1" applyFont="1" applyFill="1" applyBorder="1" applyAlignment="1">
      <alignment horizontal="center" vertical="center"/>
    </xf>
    <xf numFmtId="168" fontId="8" fillId="3" borderId="80" xfId="1" applyNumberFormat="1" applyFont="1" applyFill="1" applyBorder="1" applyAlignment="1">
      <alignment horizontal="center" vertical="center"/>
    </xf>
    <xf numFmtId="3" fontId="17" fillId="3" borderId="74" xfId="1" applyNumberFormat="1" applyFont="1" applyFill="1" applyBorder="1" applyAlignment="1">
      <alignment horizontal="center" vertical="center"/>
    </xf>
    <xf numFmtId="3" fontId="17" fillId="0" borderId="68" xfId="1" applyNumberFormat="1" applyFont="1" applyFill="1" applyBorder="1" applyAlignment="1">
      <alignment horizontal="center" vertical="center"/>
    </xf>
    <xf numFmtId="168" fontId="8" fillId="0" borderId="68" xfId="1" applyNumberFormat="1" applyFont="1" applyFill="1" applyBorder="1" applyAlignment="1">
      <alignment horizontal="center" vertical="center"/>
    </xf>
    <xf numFmtId="168" fontId="8" fillId="0" borderId="72" xfId="1" applyNumberFormat="1" applyFont="1" applyFill="1" applyBorder="1" applyAlignment="1">
      <alignment horizontal="center" vertical="center"/>
    </xf>
    <xf numFmtId="168" fontId="8" fillId="0" borderId="75" xfId="1" applyNumberFormat="1" applyFont="1" applyFill="1" applyBorder="1" applyAlignment="1">
      <alignment horizontal="center" vertical="center"/>
    </xf>
    <xf numFmtId="3" fontId="17" fillId="0" borderId="70" xfId="1" applyNumberFormat="1" applyFont="1" applyFill="1" applyBorder="1" applyAlignment="1">
      <alignment horizontal="center" vertical="center"/>
    </xf>
    <xf numFmtId="3" fontId="17" fillId="0" borderId="74" xfId="1" applyNumberFormat="1" applyFont="1" applyFill="1" applyBorder="1" applyAlignment="1">
      <alignment horizontal="center" vertical="center"/>
    </xf>
    <xf numFmtId="3" fontId="17" fillId="0" borderId="77" xfId="1" applyNumberFormat="1" applyFont="1" applyFill="1" applyBorder="1" applyAlignment="1">
      <alignment horizontal="center" vertical="center"/>
    </xf>
    <xf numFmtId="3" fontId="5" fillId="3" borderId="68" xfId="1" applyNumberFormat="1" applyFont="1" applyFill="1" applyBorder="1" applyAlignment="1">
      <alignment horizontal="center" vertical="center"/>
    </xf>
    <xf numFmtId="3" fontId="5" fillId="3" borderId="72" xfId="1" applyNumberFormat="1" applyFont="1" applyFill="1" applyBorder="1" applyAlignment="1">
      <alignment horizontal="center" vertical="center"/>
    </xf>
    <xf numFmtId="3" fontId="5" fillId="3" borderId="75" xfId="1" applyNumberFormat="1" applyFont="1" applyFill="1" applyBorder="1" applyAlignment="1">
      <alignment horizontal="center" vertical="center"/>
    </xf>
    <xf numFmtId="0" fontId="70" fillId="3" borderId="0" xfId="1" applyFont="1" applyFill="1" applyAlignment="1">
      <alignment horizontal="left" vertical="top" wrapText="1"/>
    </xf>
    <xf numFmtId="0" fontId="14" fillId="14" borderId="19" xfId="0" applyFont="1" applyFill="1" applyBorder="1" applyAlignment="1">
      <alignment horizontal="center" vertical="center"/>
    </xf>
    <xf numFmtId="0" fontId="14" fillId="14" borderId="0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7" fillId="6" borderId="19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14" borderId="0" xfId="0" applyFont="1" applyFill="1" applyBorder="1" applyAlignment="1">
      <alignment horizontal="center" vertical="center"/>
    </xf>
    <xf numFmtId="0" fontId="17" fillId="14" borderId="19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14" borderId="0" xfId="0" applyFont="1" applyFill="1" applyAlignment="1">
      <alignment horizontal="center" vertical="center"/>
    </xf>
    <xf numFmtId="3" fontId="12" fillId="15" borderId="70" xfId="1" applyNumberFormat="1" applyFont="1" applyFill="1" applyBorder="1" applyAlignment="1">
      <alignment horizontal="center" vertical="center"/>
    </xf>
    <xf numFmtId="3" fontId="12" fillId="15" borderId="74" xfId="1" applyNumberFormat="1" applyFont="1" applyFill="1" applyBorder="1" applyAlignment="1">
      <alignment horizontal="center" vertical="center"/>
    </xf>
    <xf numFmtId="3" fontId="12" fillId="15" borderId="77" xfId="1" applyNumberFormat="1" applyFont="1" applyFill="1" applyBorder="1" applyAlignment="1">
      <alignment horizontal="center" vertical="center"/>
    </xf>
    <xf numFmtId="3" fontId="17" fillId="3" borderId="78" xfId="1" applyNumberFormat="1" applyFont="1" applyFill="1" applyBorder="1" applyAlignment="1">
      <alignment horizontal="center" vertical="center"/>
    </xf>
    <xf numFmtId="3" fontId="17" fillId="3" borderId="79" xfId="1" applyNumberFormat="1" applyFont="1" applyFill="1" applyBorder="1" applyAlignment="1">
      <alignment horizontal="center" vertical="center"/>
    </xf>
    <xf numFmtId="3" fontId="17" fillId="3" borderId="80" xfId="1" applyNumberFormat="1" applyFont="1" applyFill="1" applyBorder="1" applyAlignment="1">
      <alignment horizontal="center" vertical="center"/>
    </xf>
    <xf numFmtId="168" fontId="8" fillId="3" borderId="78" xfId="1" applyNumberFormat="1" applyFont="1" applyFill="1" applyBorder="1" applyAlignment="1">
      <alignment horizontal="right" vertical="center"/>
    </xf>
    <xf numFmtId="168" fontId="8" fillId="3" borderId="79" xfId="1" applyNumberFormat="1" applyFont="1" applyFill="1" applyBorder="1" applyAlignment="1">
      <alignment horizontal="right" vertical="center"/>
    </xf>
    <xf numFmtId="168" fontId="8" fillId="3" borderId="80" xfId="1" applyNumberFormat="1" applyFont="1" applyFill="1" applyBorder="1" applyAlignment="1">
      <alignment horizontal="right" vertical="center"/>
    </xf>
    <xf numFmtId="3" fontId="17" fillId="3" borderId="82" xfId="1" applyNumberFormat="1" applyFont="1" applyFill="1" applyBorder="1" applyAlignment="1">
      <alignment horizontal="center" vertical="center"/>
    </xf>
    <xf numFmtId="3" fontId="17" fillId="3" borderId="19" xfId="1" applyNumberFormat="1" applyFont="1" applyFill="1" applyBorder="1" applyAlignment="1">
      <alignment horizontal="center" vertical="center"/>
    </xf>
    <xf numFmtId="3" fontId="17" fillId="3" borderId="85" xfId="1" applyNumberFormat="1" applyFont="1" applyFill="1" applyBorder="1" applyAlignment="1">
      <alignment horizontal="center" vertical="center"/>
    </xf>
    <xf numFmtId="3" fontId="8" fillId="3" borderId="68" xfId="1" applyNumberFormat="1" applyFont="1" applyFill="1" applyBorder="1" applyAlignment="1">
      <alignment horizontal="center" vertical="center"/>
    </xf>
    <xf numFmtId="3" fontId="8" fillId="3" borderId="72" xfId="1" applyNumberFormat="1" applyFont="1" applyFill="1" applyBorder="1" applyAlignment="1">
      <alignment horizontal="center" vertical="center"/>
    </xf>
    <xf numFmtId="3" fontId="8" fillId="3" borderId="75" xfId="1" applyNumberFormat="1" applyFont="1" applyFill="1" applyBorder="1" applyAlignment="1">
      <alignment horizontal="center" vertical="center"/>
    </xf>
    <xf numFmtId="3" fontId="17" fillId="3" borderId="91" xfId="1" applyNumberFormat="1" applyFont="1" applyFill="1" applyBorder="1" applyAlignment="1">
      <alignment horizontal="center" vertical="center"/>
    </xf>
    <xf numFmtId="168" fontId="8" fillId="3" borderId="69" xfId="1" applyNumberFormat="1" applyFont="1" applyFill="1" applyBorder="1" applyAlignment="1">
      <alignment horizontal="right" vertical="center"/>
    </xf>
    <xf numFmtId="168" fontId="8" fillId="3" borderId="73" xfId="1" applyNumberFormat="1" applyFont="1" applyFill="1" applyBorder="1" applyAlignment="1">
      <alignment horizontal="right" vertical="center"/>
    </xf>
    <xf numFmtId="168" fontId="8" fillId="3" borderId="93" xfId="1" applyNumberFormat="1" applyFont="1" applyFill="1" applyBorder="1" applyAlignment="1">
      <alignment horizontal="right" vertical="center"/>
    </xf>
    <xf numFmtId="168" fontId="8" fillId="3" borderId="68" xfId="1" applyNumberFormat="1" applyFont="1" applyFill="1" applyBorder="1" applyAlignment="1">
      <alignment horizontal="right" vertical="center"/>
    </xf>
    <xf numFmtId="168" fontId="8" fillId="3" borderId="72" xfId="1" applyNumberFormat="1" applyFont="1" applyFill="1" applyBorder="1" applyAlignment="1">
      <alignment horizontal="right" vertical="center"/>
    </xf>
    <xf numFmtId="168" fontId="8" fillId="3" borderId="75" xfId="1" applyNumberFormat="1" applyFont="1" applyFill="1" applyBorder="1" applyAlignment="1">
      <alignment horizontal="right" vertical="center"/>
    </xf>
    <xf numFmtId="3" fontId="8" fillId="3" borderId="69" xfId="1" applyNumberFormat="1" applyFont="1" applyFill="1" applyBorder="1" applyAlignment="1">
      <alignment horizontal="center" vertical="center"/>
    </xf>
    <xf numFmtId="3" fontId="8" fillId="3" borderId="73" xfId="1" applyNumberFormat="1" applyFont="1" applyFill="1" applyBorder="1" applyAlignment="1">
      <alignment horizontal="center" vertical="center"/>
    </xf>
    <xf numFmtId="3" fontId="8" fillId="3" borderId="76" xfId="1" applyNumberFormat="1" applyFont="1" applyFill="1" applyBorder="1" applyAlignment="1">
      <alignment horizontal="center" vertical="center"/>
    </xf>
    <xf numFmtId="3" fontId="17" fillId="3" borderId="69" xfId="1" applyNumberFormat="1" applyFont="1" applyFill="1" applyBorder="1" applyAlignment="1">
      <alignment horizontal="center" vertical="center"/>
    </xf>
    <xf numFmtId="3" fontId="17" fillId="3" borderId="73" xfId="1" applyNumberFormat="1" applyFont="1" applyFill="1" applyBorder="1" applyAlignment="1">
      <alignment horizontal="center" vertical="center"/>
    </xf>
    <xf numFmtId="3" fontId="17" fillId="3" borderId="76" xfId="1" applyNumberFormat="1" applyFont="1" applyFill="1" applyBorder="1" applyAlignment="1">
      <alignment horizontal="center" vertical="center"/>
    </xf>
    <xf numFmtId="168" fontId="8" fillId="3" borderId="76" xfId="1" applyNumberFormat="1" applyFont="1" applyFill="1" applyBorder="1" applyAlignment="1">
      <alignment horizontal="right" vertical="center"/>
    </xf>
    <xf numFmtId="168" fontId="12" fillId="3" borderId="69" xfId="1" applyNumberFormat="1" applyFont="1" applyFill="1" applyBorder="1" applyAlignment="1">
      <alignment horizontal="right" vertical="center"/>
    </xf>
    <xf numFmtId="168" fontId="12" fillId="3" borderId="73" xfId="1" applyNumberFormat="1" applyFont="1" applyFill="1" applyBorder="1" applyAlignment="1">
      <alignment horizontal="right" vertical="center"/>
    </xf>
    <xf numFmtId="168" fontId="12" fillId="3" borderId="76" xfId="1" applyNumberFormat="1" applyFont="1" applyFill="1" applyBorder="1" applyAlignment="1">
      <alignment horizontal="right" vertical="center"/>
    </xf>
    <xf numFmtId="168" fontId="12" fillId="3" borderId="68" xfId="1" applyNumberFormat="1" applyFont="1" applyFill="1" applyBorder="1" applyAlignment="1">
      <alignment horizontal="right" vertical="center"/>
    </xf>
    <xf numFmtId="168" fontId="12" fillId="3" borderId="72" xfId="1" applyNumberFormat="1" applyFont="1" applyFill="1" applyBorder="1" applyAlignment="1">
      <alignment horizontal="right" vertical="center"/>
    </xf>
    <xf numFmtId="168" fontId="12" fillId="3" borderId="75" xfId="1" applyNumberFormat="1" applyFont="1" applyFill="1" applyBorder="1" applyAlignment="1">
      <alignment horizontal="right" vertical="center"/>
    </xf>
    <xf numFmtId="3" fontId="5" fillId="3" borderId="70" xfId="1" applyNumberFormat="1" applyFont="1" applyFill="1" applyBorder="1" applyAlignment="1">
      <alignment horizontal="center" vertical="center"/>
    </xf>
    <xf numFmtId="3" fontId="5" fillId="3" borderId="74" xfId="1" applyNumberFormat="1" applyFont="1" applyFill="1" applyBorder="1" applyAlignment="1">
      <alignment horizontal="center" vertical="center"/>
    </xf>
    <xf numFmtId="3" fontId="5" fillId="3" borderId="77" xfId="1" applyNumberFormat="1" applyFont="1" applyFill="1" applyBorder="1" applyAlignment="1">
      <alignment horizontal="center" vertical="center"/>
    </xf>
    <xf numFmtId="0" fontId="70" fillId="3" borderId="0" xfId="1" applyFont="1" applyFill="1" applyAlignment="1">
      <alignment horizontal="center" vertical="top" wrapText="1"/>
    </xf>
    <xf numFmtId="3" fontId="17" fillId="3" borderId="87" xfId="1" applyNumberFormat="1" applyFont="1" applyFill="1" applyBorder="1" applyAlignment="1">
      <alignment horizontal="center" vertical="center"/>
    </xf>
    <xf numFmtId="3" fontId="17" fillId="3" borderId="88" xfId="1" applyNumberFormat="1" applyFont="1" applyFill="1" applyBorder="1" applyAlignment="1">
      <alignment horizontal="center" vertical="center"/>
    </xf>
    <xf numFmtId="3" fontId="17" fillId="3" borderId="83" xfId="1" applyNumberFormat="1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75" fillId="6" borderId="0" xfId="0" applyFont="1" applyFill="1" applyBorder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18" fillId="16" borderId="0" xfId="0" applyFont="1" applyFill="1" applyAlignment="1">
      <alignment horizontal="center" vertical="center" wrapText="1"/>
    </xf>
    <xf numFmtId="0" fontId="18" fillId="8" borderId="0" xfId="0" applyFont="1" applyFill="1" applyAlignment="1">
      <alignment horizontal="center" vertical="center"/>
    </xf>
    <xf numFmtId="0" fontId="17" fillId="8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7" fillId="0" borderId="23" xfId="0" applyFont="1" applyBorder="1"/>
    <xf numFmtId="0" fontId="17" fillId="0" borderId="24" xfId="0" applyFont="1" applyBorder="1"/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6" borderId="10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1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left"/>
    </xf>
    <xf numFmtId="0" fontId="17" fillId="0" borderId="33" xfId="0" applyFont="1" applyBorder="1" applyAlignment="1">
      <alignment horizontal="left"/>
    </xf>
    <xf numFmtId="0" fontId="18" fillId="0" borderId="37" xfId="0" applyFont="1" applyBorder="1" applyAlignment="1">
      <alignment horizontal="center" wrapText="1"/>
    </xf>
    <xf numFmtId="0" fontId="18" fillId="0" borderId="38" xfId="0" applyFont="1" applyBorder="1" applyAlignment="1">
      <alignment horizontal="center" wrapText="1"/>
    </xf>
    <xf numFmtId="0" fontId="17" fillId="0" borderId="39" xfId="0" applyFont="1" applyBorder="1" applyAlignment="1">
      <alignment wrapText="1"/>
    </xf>
    <xf numFmtId="0" fontId="17" fillId="0" borderId="40" xfId="0" applyFont="1" applyBorder="1" applyAlignment="1">
      <alignment wrapText="1"/>
    </xf>
    <xf numFmtId="0" fontId="18" fillId="8" borderId="25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horizontal="left"/>
    </xf>
    <xf numFmtId="0" fontId="17" fillId="0" borderId="45" xfId="0" applyFont="1" applyBorder="1" applyAlignment="1">
      <alignment horizontal="left"/>
    </xf>
    <xf numFmtId="0" fontId="18" fillId="3" borderId="42" xfId="0" applyFont="1" applyFill="1" applyBorder="1" applyAlignment="1">
      <alignment horizontal="center" vertical="center"/>
    </xf>
    <xf numFmtId="0" fontId="18" fillId="3" borderId="43" xfId="0" applyFont="1" applyFill="1" applyBorder="1" applyAlignment="1">
      <alignment horizontal="center" vertical="center"/>
    </xf>
    <xf numFmtId="0" fontId="18" fillId="8" borderId="50" xfId="0" applyFont="1" applyFill="1" applyBorder="1" applyAlignment="1">
      <alignment horizontal="center" vertical="center" wrapText="1"/>
    </xf>
    <xf numFmtId="0" fontId="18" fillId="8" borderId="53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52" xfId="0" applyFont="1" applyBorder="1" applyAlignment="1">
      <alignment horizontal="center"/>
    </xf>
    <xf numFmtId="0" fontId="18" fillId="3" borderId="41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43" fillId="8" borderId="1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46" fillId="11" borderId="0" xfId="3" applyFont="1" applyFill="1" applyProtection="1"/>
    <xf numFmtId="0" fontId="18" fillId="0" borderId="0" xfId="0" applyFont="1" applyAlignment="1">
      <alignment horizontal="center" wrapText="1"/>
    </xf>
    <xf numFmtId="0" fontId="46" fillId="11" borderId="51" xfId="3" applyFont="1" applyFill="1" applyBorder="1" applyProtection="1">
      <protection locked="0"/>
    </xf>
    <xf numFmtId="0" fontId="46" fillId="11" borderId="39" xfId="3" applyFont="1" applyFill="1" applyBorder="1" applyProtection="1">
      <protection locked="0"/>
    </xf>
    <xf numFmtId="0" fontId="46" fillId="11" borderId="40" xfId="3" applyFont="1" applyFill="1" applyBorder="1" applyProtection="1">
      <protection locked="0"/>
    </xf>
    <xf numFmtId="0" fontId="46" fillId="11" borderId="0" xfId="3" applyFont="1" applyFill="1" applyProtection="1">
      <protection locked="0"/>
    </xf>
    <xf numFmtId="0" fontId="53" fillId="12" borderId="5" xfId="0" applyFont="1" applyFill="1" applyBorder="1" applyAlignment="1">
      <alignment horizontal="center" vertical="center"/>
    </xf>
    <xf numFmtId="0" fontId="53" fillId="12" borderId="6" xfId="0" applyFont="1" applyFill="1" applyBorder="1" applyAlignment="1">
      <alignment horizontal="center" vertical="center"/>
    </xf>
    <xf numFmtId="0" fontId="53" fillId="12" borderId="7" xfId="0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/>
    </xf>
    <xf numFmtId="0" fontId="35" fillId="3" borderId="6" xfId="0" applyFont="1" applyFill="1" applyBorder="1" applyAlignment="1">
      <alignment horizontal="center"/>
    </xf>
    <xf numFmtId="0" fontId="35" fillId="3" borderId="7" xfId="0" applyFont="1" applyFill="1" applyBorder="1" applyAlignment="1">
      <alignment horizontal="center"/>
    </xf>
    <xf numFmtId="0" fontId="58" fillId="12" borderId="5" xfId="0" applyFont="1" applyFill="1" applyBorder="1" applyAlignment="1">
      <alignment horizontal="center"/>
    </xf>
    <xf numFmtId="0" fontId="58" fillId="12" borderId="6" xfId="0" applyFont="1" applyFill="1" applyBorder="1" applyAlignment="1">
      <alignment horizontal="center"/>
    </xf>
    <xf numFmtId="0" fontId="58" fillId="12" borderId="7" xfId="0" applyFont="1" applyFill="1" applyBorder="1" applyAlignment="1">
      <alignment horizontal="center"/>
    </xf>
    <xf numFmtId="9" fontId="57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left" vertical="top" wrapText="1"/>
    </xf>
    <xf numFmtId="0" fontId="76" fillId="3" borderId="0" xfId="9" applyFill="1" applyAlignment="1">
      <alignment vertical="center"/>
    </xf>
    <xf numFmtId="173" fontId="17" fillId="3" borderId="0" xfId="0" applyNumberFormat="1" applyFont="1" applyFill="1" applyAlignment="1">
      <alignment vertical="center"/>
    </xf>
  </cellXfs>
  <cellStyles count="10">
    <cellStyle name="Excel Built-in Normal" xfId="1"/>
    <cellStyle name="Hypertextový odkaz" xfId="9" builtinId="8"/>
    <cellStyle name="Normální" xfId="0" builtinId="0"/>
    <cellStyle name="normální 2" xfId="4"/>
    <cellStyle name="normální 2 2" xfId="3"/>
    <cellStyle name="Normální 3" xfId="6"/>
    <cellStyle name="Normální 4" xfId="7"/>
    <cellStyle name="Normální 5" xfId="8"/>
    <cellStyle name="procent 2" xfId="5"/>
    <cellStyle name="Procenta" xfId="2" builtinId="5"/>
  </cellStyles>
  <dxfs count="70"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DCFCB"/>
      <color rgb="FFFABFBE"/>
      <color rgb="FFF9B8AD"/>
      <color rgb="FFF7A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24"/>
  <sheetViews>
    <sheetView workbookViewId="0">
      <selection activeCell="G9" sqref="G9"/>
    </sheetView>
  </sheetViews>
  <sheetFormatPr defaultRowHeight="12.75" x14ac:dyDescent="0.25"/>
  <cols>
    <col min="1" max="1" width="9.140625" style="3"/>
    <col min="2" max="2" width="5.5703125" style="3" customWidth="1"/>
    <col min="3" max="7" width="9.140625" style="3"/>
    <col min="8" max="8" width="2.5703125" style="3" customWidth="1"/>
    <col min="9" max="16384" width="9.140625" style="3"/>
  </cols>
  <sheetData>
    <row r="2" spans="2:11" ht="15.75" x14ac:dyDescent="0.25">
      <c r="B2" s="2" t="s">
        <v>155</v>
      </c>
    </row>
    <row r="3" spans="2:11" ht="15" x14ac:dyDescent="0.25">
      <c r="B3" s="349" t="s">
        <v>264</v>
      </c>
      <c r="D3" s="664" t="s">
        <v>265</v>
      </c>
      <c r="G3" s="333"/>
    </row>
    <row r="4" spans="2:11" x14ac:dyDescent="0.25">
      <c r="B4" s="16"/>
      <c r="C4" s="3" t="s">
        <v>156</v>
      </c>
      <c r="D4" s="334" t="s">
        <v>164</v>
      </c>
      <c r="E4" s="335"/>
    </row>
    <row r="5" spans="2:11" x14ac:dyDescent="0.25">
      <c r="B5" s="16"/>
      <c r="C5" s="3" t="s">
        <v>157</v>
      </c>
      <c r="D5" s="335">
        <v>19</v>
      </c>
      <c r="E5" s="335" t="s">
        <v>158</v>
      </c>
    </row>
    <row r="7" spans="2:11" x14ac:dyDescent="0.25">
      <c r="B7" s="503" t="s">
        <v>159</v>
      </c>
      <c r="C7" s="503"/>
      <c r="D7" s="336" t="s">
        <v>160</v>
      </c>
      <c r="E7" s="336" t="s">
        <v>161</v>
      </c>
      <c r="F7" s="336" t="s">
        <v>162</v>
      </c>
      <c r="G7" s="337" t="s">
        <v>163</v>
      </c>
    </row>
    <row r="8" spans="2:11" ht="3.75" customHeight="1" x14ac:dyDescent="0.25">
      <c r="B8" s="338"/>
      <c r="C8" s="338"/>
      <c r="D8" s="338"/>
      <c r="E8" s="338"/>
      <c r="F8" s="338"/>
      <c r="G8" s="338"/>
    </row>
    <row r="9" spans="2:11" x14ac:dyDescent="0.25">
      <c r="B9" s="339">
        <v>1</v>
      </c>
      <c r="C9" s="3" t="s">
        <v>18</v>
      </c>
      <c r="D9" s="340">
        <v>-4.7</v>
      </c>
      <c r="E9" s="341">
        <v>31</v>
      </c>
      <c r="F9" s="20">
        <f>IF(E9=0,0,E9*($D$5-D9))</f>
        <v>734.69999999999993</v>
      </c>
      <c r="G9" s="342">
        <f>IF(F9=0,0,F9/$F$22)</f>
        <v>0.2044695536012468</v>
      </c>
      <c r="K9" s="665"/>
    </row>
    <row r="10" spans="2:11" x14ac:dyDescent="0.25">
      <c r="B10" s="339">
        <v>2</v>
      </c>
      <c r="C10" s="3" t="s">
        <v>19</v>
      </c>
      <c r="D10" s="340">
        <v>1.3</v>
      </c>
      <c r="E10" s="341">
        <v>28</v>
      </c>
      <c r="F10" s="20">
        <f t="shared" ref="F10:F20" si="0">IF(E10=0,0,E10*($D$5-D10))</f>
        <v>495.59999999999997</v>
      </c>
      <c r="G10" s="343">
        <f t="shared" ref="G10:G20" si="1">IF(F10=0,0,F10/$F$22)</f>
        <v>0.13792719581431592</v>
      </c>
      <c r="K10" s="665"/>
    </row>
    <row r="11" spans="2:11" x14ac:dyDescent="0.25">
      <c r="B11" s="339">
        <v>3</v>
      </c>
      <c r="C11" s="3" t="s">
        <v>20</v>
      </c>
      <c r="D11" s="340">
        <v>5.6</v>
      </c>
      <c r="E11" s="341">
        <v>31</v>
      </c>
      <c r="F11" s="20">
        <f t="shared" si="0"/>
        <v>415.40000000000003</v>
      </c>
      <c r="G11" s="343">
        <f t="shared" si="1"/>
        <v>0.11560725815429146</v>
      </c>
      <c r="K11" s="665"/>
    </row>
    <row r="12" spans="2:11" x14ac:dyDescent="0.25">
      <c r="B12" s="339">
        <v>4</v>
      </c>
      <c r="C12" s="3" t="s">
        <v>21</v>
      </c>
      <c r="D12" s="340">
        <v>6.4</v>
      </c>
      <c r="E12" s="341">
        <v>29</v>
      </c>
      <c r="F12" s="20">
        <f t="shared" si="0"/>
        <v>365.4</v>
      </c>
      <c r="G12" s="343">
        <f t="shared" si="1"/>
        <v>0.10169208504953801</v>
      </c>
      <c r="K12" s="665"/>
    </row>
    <row r="13" spans="2:11" x14ac:dyDescent="0.25">
      <c r="B13" s="339">
        <v>5</v>
      </c>
      <c r="C13" s="3" t="s">
        <v>22</v>
      </c>
      <c r="D13" s="340">
        <v>13.2</v>
      </c>
      <c r="E13" s="341">
        <v>20</v>
      </c>
      <c r="F13" s="20">
        <f t="shared" si="0"/>
        <v>116.00000000000001</v>
      </c>
      <c r="G13" s="343">
        <f t="shared" si="1"/>
        <v>3.2283201603027945E-2</v>
      </c>
      <c r="K13" s="665"/>
    </row>
    <row r="14" spans="2:11" x14ac:dyDescent="0.25">
      <c r="B14" s="339">
        <v>6</v>
      </c>
      <c r="C14" s="3" t="s">
        <v>23</v>
      </c>
      <c r="D14" s="344">
        <v>17.100000000000001</v>
      </c>
      <c r="E14" s="341">
        <v>0</v>
      </c>
      <c r="F14" s="20">
        <f t="shared" si="0"/>
        <v>0</v>
      </c>
      <c r="G14" s="343">
        <f t="shared" si="1"/>
        <v>0</v>
      </c>
      <c r="K14" s="665"/>
    </row>
    <row r="15" spans="2:11" x14ac:dyDescent="0.25">
      <c r="B15" s="339">
        <v>7</v>
      </c>
      <c r="C15" s="3" t="s">
        <v>24</v>
      </c>
      <c r="D15" s="344">
        <v>17.600000000000001</v>
      </c>
      <c r="E15" s="341">
        <v>0</v>
      </c>
      <c r="F15" s="20">
        <f t="shared" si="0"/>
        <v>0</v>
      </c>
      <c r="G15" s="343">
        <f t="shared" si="1"/>
        <v>0</v>
      </c>
      <c r="K15" s="665"/>
    </row>
    <row r="16" spans="2:11" x14ac:dyDescent="0.25">
      <c r="B16" s="339">
        <v>8</v>
      </c>
      <c r="C16" s="3" t="s">
        <v>25</v>
      </c>
      <c r="D16" s="344">
        <v>17.7</v>
      </c>
      <c r="E16" s="341">
        <v>0</v>
      </c>
      <c r="F16" s="20">
        <f t="shared" si="0"/>
        <v>0</v>
      </c>
      <c r="G16" s="343">
        <f t="shared" si="1"/>
        <v>0</v>
      </c>
      <c r="K16" s="665"/>
    </row>
    <row r="17" spans="2:11" x14ac:dyDescent="0.25">
      <c r="B17" s="339">
        <v>9</v>
      </c>
      <c r="C17" s="3" t="s">
        <v>26</v>
      </c>
      <c r="D17" s="340">
        <v>11.6</v>
      </c>
      <c r="E17" s="341">
        <v>25</v>
      </c>
      <c r="F17" s="20">
        <f t="shared" si="0"/>
        <v>185</v>
      </c>
      <c r="G17" s="343">
        <f t="shared" si="1"/>
        <v>5.1486140487587671E-2</v>
      </c>
      <c r="K17" s="665"/>
    </row>
    <row r="18" spans="2:11" x14ac:dyDescent="0.25">
      <c r="B18" s="339">
        <v>10</v>
      </c>
      <c r="C18" s="3" t="s">
        <v>27</v>
      </c>
      <c r="D18" s="340">
        <v>9.9</v>
      </c>
      <c r="E18" s="341">
        <v>29</v>
      </c>
      <c r="F18" s="20">
        <f t="shared" si="0"/>
        <v>263.89999999999998</v>
      </c>
      <c r="G18" s="343">
        <f t="shared" si="1"/>
        <v>7.344428364688857E-2</v>
      </c>
      <c r="K18" s="665"/>
    </row>
    <row r="19" spans="2:11" x14ac:dyDescent="0.25">
      <c r="B19" s="339">
        <v>11</v>
      </c>
      <c r="C19" s="3" t="s">
        <v>28</v>
      </c>
      <c r="D19" s="340">
        <v>3.9</v>
      </c>
      <c r="E19" s="341">
        <v>30</v>
      </c>
      <c r="F19" s="20">
        <f t="shared" si="0"/>
        <v>453</v>
      </c>
      <c r="G19" s="343">
        <f t="shared" si="1"/>
        <v>0.12607146832906602</v>
      </c>
      <c r="K19" s="665"/>
    </row>
    <row r="20" spans="2:11" x14ac:dyDescent="0.25">
      <c r="B20" s="339">
        <v>12</v>
      </c>
      <c r="C20" s="3" t="s">
        <v>29</v>
      </c>
      <c r="D20" s="340">
        <v>0.8</v>
      </c>
      <c r="E20" s="341">
        <v>31</v>
      </c>
      <c r="F20" s="20">
        <f t="shared" si="0"/>
        <v>564.19999999999993</v>
      </c>
      <c r="G20" s="345">
        <f t="shared" si="1"/>
        <v>0.15701881331403761</v>
      </c>
      <c r="K20" s="665"/>
    </row>
    <row r="21" spans="2:11" ht="3.75" customHeight="1" x14ac:dyDescent="0.25">
      <c r="B21" s="338"/>
      <c r="C21" s="338"/>
      <c r="D21" s="338"/>
      <c r="E21" s="338"/>
      <c r="F21" s="338"/>
      <c r="G21" s="346"/>
    </row>
    <row r="22" spans="2:11" ht="15" x14ac:dyDescent="0.25">
      <c r="D22" s="350">
        <f>SUMPRODUCT(D9:D20,E9:E20)/E22</f>
        <v>4.8535433070866141</v>
      </c>
      <c r="E22" s="347">
        <f t="shared" ref="E22:G22" si="2">SUM(E9:E20)</f>
        <v>254</v>
      </c>
      <c r="F22" s="347">
        <f t="shared" si="2"/>
        <v>3593.2</v>
      </c>
      <c r="G22" s="348">
        <f t="shared" si="2"/>
        <v>1.0000000000000002</v>
      </c>
      <c r="J22" s="350"/>
    </row>
    <row r="24" spans="2:11" ht="15" x14ac:dyDescent="0.25">
      <c r="B24" s="19"/>
    </row>
  </sheetData>
  <mergeCells count="1">
    <mergeCell ref="B7:C7"/>
  </mergeCells>
  <hyperlinks>
    <hyperlink ref="D3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K32"/>
  <sheetViews>
    <sheetView workbookViewId="0">
      <selection activeCell="I32" sqref="I32"/>
    </sheetView>
  </sheetViews>
  <sheetFormatPr defaultRowHeight="15" x14ac:dyDescent="0.25"/>
  <cols>
    <col min="1" max="5" width="9.140625" style="234"/>
    <col min="6" max="6" width="13.28515625" style="234" customWidth="1"/>
    <col min="7" max="7" width="6.140625" style="234" customWidth="1"/>
    <col min="8" max="8" width="7.140625" style="234" customWidth="1"/>
    <col min="9" max="9" width="19.85546875" style="234" customWidth="1"/>
    <col min="10" max="10" width="3.7109375" style="234" customWidth="1"/>
    <col min="11" max="16384" width="9.140625" style="234"/>
  </cols>
  <sheetData>
    <row r="2" spans="2:10" ht="24.75" customHeight="1" x14ac:dyDescent="0.25">
      <c r="B2" s="653" t="s">
        <v>150</v>
      </c>
      <c r="C2" s="654"/>
      <c r="D2" s="654"/>
      <c r="E2" s="654"/>
      <c r="F2" s="654"/>
      <c r="G2" s="654"/>
      <c r="H2" s="654"/>
      <c r="I2" s="654"/>
      <c r="J2" s="655"/>
    </row>
    <row r="3" spans="2:10" ht="12.75" customHeight="1" x14ac:dyDescent="0.25"/>
    <row r="4" spans="2:10" x14ac:dyDescent="0.25">
      <c r="G4" s="267" t="s">
        <v>116</v>
      </c>
      <c r="H4" s="276">
        <v>0.21</v>
      </c>
      <c r="I4" s="275" t="s">
        <v>130</v>
      </c>
    </row>
    <row r="6" spans="2:10" x14ac:dyDescent="0.25">
      <c r="B6" s="656" t="s">
        <v>129</v>
      </c>
      <c r="C6" s="657"/>
      <c r="D6" s="657"/>
      <c r="E6" s="657"/>
      <c r="F6" s="657"/>
      <c r="G6" s="657"/>
      <c r="H6" s="657"/>
      <c r="I6" s="657"/>
      <c r="J6" s="658"/>
    </row>
    <row r="8" spans="2:10" x14ac:dyDescent="0.25">
      <c r="B8" s="247" t="s">
        <v>128</v>
      </c>
    </row>
    <row r="9" spans="2:10" ht="6.75" customHeight="1" x14ac:dyDescent="0.25">
      <c r="B9" s="274"/>
      <c r="C9" s="273"/>
      <c r="D9" s="241"/>
      <c r="E9" s="241"/>
      <c r="F9" s="241"/>
      <c r="G9" s="241"/>
      <c r="H9" s="241"/>
      <c r="I9" s="241"/>
      <c r="J9" s="241"/>
    </row>
    <row r="10" spans="2:10" x14ac:dyDescent="0.25">
      <c r="B10" s="260" t="s">
        <v>127</v>
      </c>
      <c r="C10" s="259"/>
      <c r="D10" s="259"/>
      <c r="E10" s="259"/>
      <c r="F10" s="259"/>
      <c r="G10" s="259"/>
      <c r="H10" s="259"/>
      <c r="I10" s="258">
        <f>'Modelová nabídka'!R32</f>
        <v>0</v>
      </c>
      <c r="J10" s="257" t="s">
        <v>114</v>
      </c>
    </row>
    <row r="11" spans="2:10" x14ac:dyDescent="0.25">
      <c r="B11" s="256" t="s">
        <v>17</v>
      </c>
      <c r="C11" s="254"/>
      <c r="D11" s="255"/>
      <c r="E11" s="255"/>
      <c r="F11" s="255"/>
      <c r="G11" s="255"/>
      <c r="H11" s="254">
        <f>H4</f>
        <v>0.21</v>
      </c>
      <c r="I11" s="253">
        <f>I10*H4</f>
        <v>0</v>
      </c>
      <c r="J11" s="252" t="s">
        <v>114</v>
      </c>
    </row>
    <row r="12" spans="2:10" x14ac:dyDescent="0.25">
      <c r="B12" s="251" t="s">
        <v>126</v>
      </c>
      <c r="C12" s="250"/>
      <c r="D12" s="250"/>
      <c r="E12" s="250"/>
      <c r="F12" s="250"/>
      <c r="G12" s="250"/>
      <c r="H12" s="250"/>
      <c r="I12" s="249">
        <f>I10+I11</f>
        <v>0</v>
      </c>
      <c r="J12" s="248" t="s">
        <v>114</v>
      </c>
    </row>
    <row r="13" spans="2:10" ht="7.5" customHeight="1" x14ac:dyDescent="0.25"/>
    <row r="16" spans="2:10" x14ac:dyDescent="0.25">
      <c r="B16" s="247" t="s">
        <v>125</v>
      </c>
    </row>
    <row r="17" spans="2:11" x14ac:dyDescent="0.25">
      <c r="B17" s="272" t="s">
        <v>124</v>
      </c>
      <c r="C17" s="271"/>
      <c r="D17" s="271"/>
      <c r="E17" s="271"/>
      <c r="F17" s="271"/>
      <c r="G17" s="271"/>
      <c r="H17" s="271"/>
      <c r="I17" s="270">
        <f>'Modelová nabídka'!R36</f>
        <v>0</v>
      </c>
      <c r="J17" s="269" t="s">
        <v>1</v>
      </c>
    </row>
    <row r="20" spans="2:11" x14ac:dyDescent="0.25">
      <c r="B20" s="1" t="s">
        <v>123</v>
      </c>
    </row>
    <row r="21" spans="2:11" ht="7.5" customHeight="1" x14ac:dyDescent="0.25">
      <c r="B21" s="268"/>
      <c r="C21" s="267"/>
    </row>
    <row r="22" spans="2:11" x14ac:dyDescent="0.25">
      <c r="B22" s="266" t="s">
        <v>122</v>
      </c>
      <c r="C22" s="245"/>
      <c r="D22" s="245"/>
      <c r="E22" s="245"/>
      <c r="F22" s="245"/>
      <c r="G22" s="245"/>
      <c r="H22" s="245"/>
      <c r="I22" s="265">
        <f>'Modelová nabídka'!R37</f>
        <v>0</v>
      </c>
      <c r="J22" s="264" t="s">
        <v>114</v>
      </c>
      <c r="K22" s="299"/>
    </row>
    <row r="23" spans="2:11" x14ac:dyDescent="0.25">
      <c r="B23" s="263" t="s">
        <v>121</v>
      </c>
      <c r="C23" s="237"/>
      <c r="D23" s="237"/>
      <c r="E23" s="237"/>
      <c r="F23" s="237"/>
      <c r="G23" s="237"/>
      <c r="H23" s="237"/>
      <c r="I23" s="262">
        <f>'Modelová nabídka'!R38</f>
        <v>0</v>
      </c>
      <c r="J23" s="261" t="s">
        <v>1</v>
      </c>
      <c r="K23" s="299"/>
    </row>
    <row r="24" spans="2:11" x14ac:dyDescent="0.25">
      <c r="B24" s="256" t="s">
        <v>120</v>
      </c>
      <c r="C24" s="255"/>
      <c r="D24" s="255"/>
      <c r="E24" s="255"/>
      <c r="F24" s="255"/>
      <c r="G24" s="255"/>
      <c r="H24" s="255"/>
      <c r="I24" s="253">
        <f>SUM(I22:I23)</f>
        <v>0</v>
      </c>
      <c r="J24" s="252" t="s">
        <v>114</v>
      </c>
    </row>
    <row r="25" spans="2:11" x14ac:dyDescent="0.25">
      <c r="B25" s="256" t="s">
        <v>17</v>
      </c>
      <c r="C25" s="255"/>
      <c r="D25" s="255"/>
      <c r="E25" s="255"/>
      <c r="F25" s="255"/>
      <c r="G25" s="255"/>
      <c r="H25" s="300">
        <f>H4</f>
        <v>0.21</v>
      </c>
      <c r="I25" s="253">
        <f>I24*H25</f>
        <v>0</v>
      </c>
      <c r="J25" s="252" t="s">
        <v>1</v>
      </c>
    </row>
    <row r="26" spans="2:11" x14ac:dyDescent="0.25">
      <c r="B26" s="251" t="s">
        <v>119</v>
      </c>
      <c r="C26" s="250"/>
      <c r="D26" s="250"/>
      <c r="E26" s="250"/>
      <c r="F26" s="250"/>
      <c r="G26" s="250"/>
      <c r="H26" s="250"/>
      <c r="I26" s="249">
        <f>I24+I25</f>
        <v>0</v>
      </c>
      <c r="J26" s="248" t="s">
        <v>1</v>
      </c>
    </row>
    <row r="29" spans="2:11" x14ac:dyDescent="0.25">
      <c r="B29" s="247" t="s">
        <v>118</v>
      </c>
    </row>
    <row r="30" spans="2:11" x14ac:dyDescent="0.25">
      <c r="B30" s="246" t="s">
        <v>117</v>
      </c>
      <c r="C30" s="245"/>
      <c r="D30" s="245"/>
      <c r="E30" s="245"/>
      <c r="F30" s="245"/>
      <c r="G30" s="245"/>
      <c r="H30" s="245"/>
      <c r="I30" s="244">
        <f>I10+I17+I24</f>
        <v>0</v>
      </c>
      <c r="J30" s="243" t="s">
        <v>114</v>
      </c>
    </row>
    <row r="31" spans="2:11" x14ac:dyDescent="0.25">
      <c r="B31" s="242" t="s">
        <v>17</v>
      </c>
      <c r="C31" s="241"/>
      <c r="D31" s="241"/>
      <c r="E31" s="241"/>
      <c r="F31" s="241"/>
      <c r="G31" s="241"/>
      <c r="H31" s="304">
        <f>H4</f>
        <v>0.21</v>
      </c>
      <c r="I31" s="240">
        <f>I11+I25</f>
        <v>0</v>
      </c>
      <c r="J31" s="239" t="s">
        <v>1</v>
      </c>
    </row>
    <row r="32" spans="2:11" x14ac:dyDescent="0.25">
      <c r="B32" s="238" t="s">
        <v>115</v>
      </c>
      <c r="C32" s="237"/>
      <c r="D32" s="237"/>
      <c r="E32" s="237"/>
      <c r="F32" s="237"/>
      <c r="G32" s="237"/>
      <c r="H32" s="237"/>
      <c r="I32" s="236">
        <f>I30+I31</f>
        <v>0</v>
      </c>
      <c r="J32" s="235" t="s">
        <v>114</v>
      </c>
    </row>
  </sheetData>
  <mergeCells count="2">
    <mergeCell ref="B2:J2"/>
    <mergeCell ref="B6:J6"/>
  </mergeCells>
  <pageMargins left="0.7" right="0.7" top="0.78740157499999996" bottom="0.78740157499999996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1:L16"/>
  <sheetViews>
    <sheetView zoomScaleNormal="100" workbookViewId="0">
      <selection activeCell="B15" sqref="B15"/>
    </sheetView>
  </sheetViews>
  <sheetFormatPr defaultRowHeight="15" x14ac:dyDescent="0.25"/>
  <cols>
    <col min="1" max="1" width="4.7109375" style="234" customWidth="1"/>
    <col min="2" max="2" width="9.140625" style="234"/>
    <col min="3" max="3" width="57.140625" style="234" customWidth="1"/>
    <col min="4" max="4" width="1" style="234" customWidth="1"/>
    <col min="5" max="5" width="21.7109375" style="234" customWidth="1"/>
    <col min="6" max="6" width="9.140625" style="234"/>
    <col min="7" max="7" width="6.7109375" style="234" customWidth="1"/>
    <col min="8" max="8" width="4" style="234" customWidth="1"/>
    <col min="9" max="9" width="19.42578125" style="234" customWidth="1"/>
    <col min="10" max="10" width="4.7109375" style="234" customWidth="1"/>
    <col min="11" max="11" width="13.7109375" style="234" customWidth="1"/>
    <col min="12" max="12" width="9.140625" style="234"/>
    <col min="13" max="13" width="10.7109375" style="234" customWidth="1"/>
    <col min="14" max="16384" width="9.140625" style="234"/>
  </cols>
  <sheetData>
    <row r="1" spans="1:12" ht="11.25" customHeight="1" x14ac:dyDescent="0.25"/>
    <row r="2" spans="1:12" ht="20.25" customHeight="1" x14ac:dyDescent="0.35">
      <c r="B2" s="659" t="s">
        <v>135</v>
      </c>
      <c r="C2" s="660"/>
      <c r="D2" s="660"/>
      <c r="E2" s="660"/>
      <c r="F2" s="660"/>
      <c r="G2" s="660"/>
      <c r="H2" s="660"/>
      <c r="I2" s="660"/>
      <c r="J2" s="660"/>
      <c r="K2" s="661"/>
    </row>
    <row r="3" spans="1:12" ht="15.75" thickBot="1" x14ac:dyDescent="0.3">
      <c r="G3" s="289"/>
      <c r="L3" s="278"/>
    </row>
    <row r="4" spans="1:12" ht="15.75" thickBot="1" x14ac:dyDescent="0.3">
      <c r="A4" s="247">
        <v>1</v>
      </c>
      <c r="B4" s="247" t="s">
        <v>145</v>
      </c>
      <c r="C4" s="289"/>
      <c r="E4" s="292" t="s">
        <v>132</v>
      </c>
      <c r="F4" s="281"/>
      <c r="G4" s="287">
        <v>0.4</v>
      </c>
      <c r="I4" s="280" t="s">
        <v>131</v>
      </c>
      <c r="K4" s="279">
        <f>'Modelová nabídka'!R42</f>
        <v>0</v>
      </c>
      <c r="L4" s="278">
        <v>2</v>
      </c>
    </row>
    <row r="5" spans="1:12" x14ac:dyDescent="0.25">
      <c r="E5" s="292"/>
      <c r="F5" s="281"/>
      <c r="G5" s="277"/>
      <c r="I5" s="280"/>
      <c r="K5" s="293"/>
      <c r="L5" s="278"/>
    </row>
    <row r="6" spans="1:12" ht="15.75" thickBot="1" x14ac:dyDescent="0.3">
      <c r="B6" s="267"/>
      <c r="C6" s="283"/>
      <c r="E6" s="291"/>
      <c r="F6" s="281"/>
      <c r="G6" s="277"/>
      <c r="I6" s="280"/>
      <c r="J6" s="284"/>
      <c r="K6" s="290"/>
      <c r="L6" s="278"/>
    </row>
    <row r="7" spans="1:12" ht="15.75" thickBot="1" x14ac:dyDescent="0.3">
      <c r="A7" s="247">
        <v>2</v>
      </c>
      <c r="B7" s="247" t="s">
        <v>134</v>
      </c>
      <c r="E7" s="292" t="s">
        <v>132</v>
      </c>
      <c r="G7" s="287">
        <v>0.35</v>
      </c>
      <c r="I7" s="280" t="s">
        <v>131</v>
      </c>
      <c r="K7" s="279">
        <f>'Modelová nabídka'!R29</f>
        <v>56081979.590882875</v>
      </c>
      <c r="L7" s="278">
        <v>1</v>
      </c>
    </row>
    <row r="8" spans="1:12" x14ac:dyDescent="0.25">
      <c r="E8" s="292"/>
      <c r="F8" s="281"/>
      <c r="G8" s="277"/>
      <c r="I8" s="280"/>
      <c r="K8" s="293"/>
      <c r="L8" s="278"/>
    </row>
    <row r="9" spans="1:12" ht="15.75" thickBot="1" x14ac:dyDescent="0.3">
      <c r="E9" s="286"/>
      <c r="F9" s="281"/>
      <c r="G9" s="277"/>
      <c r="I9" s="280"/>
      <c r="K9" s="285"/>
      <c r="L9" s="278"/>
    </row>
    <row r="10" spans="1:12" ht="15.75" thickBot="1" x14ac:dyDescent="0.3">
      <c r="A10" s="247">
        <v>3</v>
      </c>
      <c r="B10" s="247" t="s">
        <v>177</v>
      </c>
      <c r="C10" s="289"/>
      <c r="D10" s="289"/>
      <c r="E10" s="292" t="s">
        <v>132</v>
      </c>
      <c r="F10" s="281"/>
      <c r="G10" s="287">
        <v>0.15</v>
      </c>
      <c r="I10" s="280" t="s">
        <v>131</v>
      </c>
      <c r="J10" s="662"/>
      <c r="K10" s="279">
        <f>'Modelová nabídka'!R32</f>
        <v>0</v>
      </c>
      <c r="L10" s="278">
        <v>3</v>
      </c>
    </row>
    <row r="11" spans="1:12" x14ac:dyDescent="0.25">
      <c r="A11" s="247"/>
      <c r="B11" s="247"/>
      <c r="C11" s="289"/>
      <c r="D11" s="289"/>
      <c r="E11" s="288"/>
      <c r="F11" s="281"/>
      <c r="G11" s="287"/>
      <c r="I11" s="280"/>
      <c r="J11" s="662"/>
      <c r="K11" s="285"/>
      <c r="L11" s="278"/>
    </row>
    <row r="12" spans="1:12" ht="15.75" thickBot="1" x14ac:dyDescent="0.3">
      <c r="A12" s="247"/>
      <c r="B12" s="247"/>
      <c r="C12" s="289"/>
      <c r="D12" s="289"/>
      <c r="E12" s="288"/>
      <c r="F12" s="281"/>
      <c r="G12" s="287"/>
      <c r="I12" s="280"/>
      <c r="J12" s="662"/>
      <c r="K12" s="285"/>
      <c r="L12" s="278"/>
    </row>
    <row r="13" spans="1:12" ht="15.75" thickBot="1" x14ac:dyDescent="0.3">
      <c r="A13" s="247">
        <v>4</v>
      </c>
      <c r="B13" s="663" t="s">
        <v>263</v>
      </c>
      <c r="C13" s="663"/>
      <c r="D13" s="289"/>
      <c r="E13" s="282" t="s">
        <v>133</v>
      </c>
      <c r="F13" s="281"/>
      <c r="G13" s="287">
        <v>0.1</v>
      </c>
      <c r="I13" s="280" t="s">
        <v>131</v>
      </c>
      <c r="J13" s="662"/>
      <c r="K13" s="309">
        <f>'Modelová nabídka'!R47</f>
        <v>0</v>
      </c>
      <c r="L13" s="278">
        <v>4</v>
      </c>
    </row>
    <row r="14" spans="1:12" x14ac:dyDescent="0.25">
      <c r="A14" s="247"/>
      <c r="B14" s="663"/>
      <c r="C14" s="663"/>
      <c r="D14" s="289"/>
      <c r="E14" s="288"/>
      <c r="F14" s="281"/>
      <c r="G14" s="287"/>
      <c r="I14" s="280"/>
      <c r="J14" s="662"/>
      <c r="K14" s="285"/>
    </row>
    <row r="15" spans="1:12" x14ac:dyDescent="0.25">
      <c r="A15" s="247"/>
      <c r="B15" s="247"/>
      <c r="C15" s="289"/>
      <c r="D15" s="289"/>
      <c r="E15" s="288"/>
      <c r="F15" s="281"/>
      <c r="G15" s="287"/>
      <c r="I15" s="280"/>
      <c r="J15" s="662"/>
      <c r="K15" s="285"/>
    </row>
    <row r="16" spans="1:12" x14ac:dyDescent="0.25">
      <c r="A16" s="247"/>
      <c r="B16" s="247"/>
      <c r="C16" s="289"/>
      <c r="D16" s="289"/>
      <c r="E16" s="288"/>
      <c r="F16" s="281"/>
      <c r="G16" s="287"/>
      <c r="I16" s="280"/>
      <c r="J16" s="662"/>
      <c r="K16" s="285"/>
    </row>
  </sheetData>
  <mergeCells count="3">
    <mergeCell ref="B2:K2"/>
    <mergeCell ref="J10:J16"/>
    <mergeCell ref="B13:C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AI79"/>
  <sheetViews>
    <sheetView zoomScale="85" zoomScaleNormal="85" workbookViewId="0">
      <pane xSplit="5" ySplit="5" topLeftCell="O30" activePane="bottomRight" state="frozen"/>
      <selection activeCell="AA23" sqref="AA23:AA33"/>
      <selection pane="topRight" activeCell="AA23" sqref="AA23:AA33"/>
      <selection pane="bottomLeft" activeCell="AA23" sqref="AA23:AA33"/>
      <selection pane="bottomRight" activeCell="AL56" sqref="AL56"/>
    </sheetView>
  </sheetViews>
  <sheetFormatPr defaultColWidth="10.140625" defaultRowHeight="15" outlineLevelRow="1" outlineLevelCol="3" x14ac:dyDescent="0.25"/>
  <cols>
    <col min="1" max="1" width="1" style="32" customWidth="1"/>
    <col min="2" max="2" width="12" style="32" customWidth="1"/>
    <col min="3" max="3" width="10.140625" style="32" customWidth="1"/>
    <col min="4" max="4" width="14" style="32" customWidth="1"/>
    <col min="5" max="5" width="5" style="360" customWidth="1"/>
    <col min="6" max="6" width="3.140625" style="34" hidden="1" customWidth="1" outlineLevel="1"/>
    <col min="7" max="8" width="11.5703125" style="32" hidden="1" customWidth="1" outlineLevel="2"/>
    <col min="9" max="9" width="11.5703125" style="32" hidden="1" customWidth="1" outlineLevel="1" collapsed="1"/>
    <col min="10" max="10" width="10" style="32" hidden="1" customWidth="1" outlineLevel="2"/>
    <col min="11" max="11" width="11.5703125" style="32" hidden="1" customWidth="1" outlineLevel="1"/>
    <col min="12" max="14" width="10" style="32" hidden="1" customWidth="1" outlineLevel="1"/>
    <col min="15" max="15" width="3.7109375" style="34" customWidth="1" collapsed="1"/>
    <col min="16" max="16" width="12.7109375" style="361" customWidth="1"/>
    <col min="17" max="17" width="12" style="362" customWidth="1"/>
    <col min="18" max="18" width="12.7109375" style="361" customWidth="1" outlineLevel="1"/>
    <col min="19" max="19" width="12.7109375" style="361" hidden="1" customWidth="1" outlineLevel="3"/>
    <col min="20" max="20" width="11.85546875" style="362" customWidth="1" outlineLevel="1" collapsed="1"/>
    <col min="21" max="21" width="3.7109375" style="34" customWidth="1"/>
    <col min="22" max="22" width="14" style="32" customWidth="1"/>
    <col min="23" max="24" width="7.7109375" style="32" customWidth="1" outlineLevel="1"/>
    <col min="25" max="25" width="14" style="32" customWidth="1"/>
    <col min="26" max="26" width="3.7109375" style="34" customWidth="1"/>
    <col min="27" max="28" width="10.140625" style="32" customWidth="1" outlineLevel="1"/>
    <col min="29" max="29" width="11.7109375" style="362" customWidth="1" outlineLevel="1"/>
    <col min="30" max="30" width="10.140625" style="32" hidden="1" customWidth="1" outlineLevel="2"/>
    <col min="31" max="31" width="10.140625" style="32" hidden="1" customWidth="1" outlineLevel="3"/>
    <col min="32" max="32" width="10.140625" style="32" hidden="1" customWidth="1" outlineLevel="2" collapsed="1"/>
    <col min="33" max="33" width="10.140625" style="362" hidden="1" customWidth="1" outlineLevel="2"/>
    <col min="34" max="34" width="10.140625" style="32" customWidth="1" outlineLevel="1" collapsed="1"/>
    <col min="35" max="270" width="10.140625" style="32"/>
    <col min="271" max="283" width="14" style="32" customWidth="1"/>
    <col min="284" max="526" width="10.140625" style="32"/>
    <col min="527" max="539" width="14" style="32" customWidth="1"/>
    <col min="540" max="782" width="10.140625" style="32"/>
    <col min="783" max="795" width="14" style="32" customWidth="1"/>
    <col min="796" max="1038" width="10.140625" style="32"/>
    <col min="1039" max="1051" width="14" style="32" customWidth="1"/>
    <col min="1052" max="1294" width="10.140625" style="32"/>
    <col min="1295" max="1307" width="14" style="32" customWidth="1"/>
    <col min="1308" max="1550" width="10.140625" style="32"/>
    <col min="1551" max="1563" width="14" style="32" customWidth="1"/>
    <col min="1564" max="1806" width="10.140625" style="32"/>
    <col min="1807" max="1819" width="14" style="32" customWidth="1"/>
    <col min="1820" max="2062" width="10.140625" style="32"/>
    <col min="2063" max="2075" width="14" style="32" customWidth="1"/>
    <col min="2076" max="2318" width="10.140625" style="32"/>
    <col min="2319" max="2331" width="14" style="32" customWidth="1"/>
    <col min="2332" max="2574" width="10.140625" style="32"/>
    <col min="2575" max="2587" width="14" style="32" customWidth="1"/>
    <col min="2588" max="2830" width="10.140625" style="32"/>
    <col min="2831" max="2843" width="14" style="32" customWidth="1"/>
    <col min="2844" max="3086" width="10.140625" style="32"/>
    <col min="3087" max="3099" width="14" style="32" customWidth="1"/>
    <col min="3100" max="3342" width="10.140625" style="32"/>
    <col min="3343" max="3355" width="14" style="32" customWidth="1"/>
    <col min="3356" max="3598" width="10.140625" style="32"/>
    <col min="3599" max="3611" width="14" style="32" customWidth="1"/>
    <col min="3612" max="3854" width="10.140625" style="32"/>
    <col min="3855" max="3867" width="14" style="32" customWidth="1"/>
    <col min="3868" max="4110" width="10.140625" style="32"/>
    <col min="4111" max="4123" width="14" style="32" customWidth="1"/>
    <col min="4124" max="4366" width="10.140625" style="32"/>
    <col min="4367" max="4379" width="14" style="32" customWidth="1"/>
    <col min="4380" max="4622" width="10.140625" style="32"/>
    <col min="4623" max="4635" width="14" style="32" customWidth="1"/>
    <col min="4636" max="4878" width="10.140625" style="32"/>
    <col min="4879" max="4891" width="14" style="32" customWidth="1"/>
    <col min="4892" max="5134" width="10.140625" style="32"/>
    <col min="5135" max="5147" width="14" style="32" customWidth="1"/>
    <col min="5148" max="5390" width="10.140625" style="32"/>
    <col min="5391" max="5403" width="14" style="32" customWidth="1"/>
    <col min="5404" max="5646" width="10.140625" style="32"/>
    <col min="5647" max="5659" width="14" style="32" customWidth="1"/>
    <col min="5660" max="5902" width="10.140625" style="32"/>
    <col min="5903" max="5915" width="14" style="32" customWidth="1"/>
    <col min="5916" max="6158" width="10.140625" style="32"/>
    <col min="6159" max="6171" width="14" style="32" customWidth="1"/>
    <col min="6172" max="6414" width="10.140625" style="32"/>
    <col min="6415" max="6427" width="14" style="32" customWidth="1"/>
    <col min="6428" max="6670" width="10.140625" style="32"/>
    <col min="6671" max="6683" width="14" style="32" customWidth="1"/>
    <col min="6684" max="6926" width="10.140625" style="32"/>
    <col min="6927" max="6939" width="14" style="32" customWidth="1"/>
    <col min="6940" max="7182" width="10.140625" style="32"/>
    <col min="7183" max="7195" width="14" style="32" customWidth="1"/>
    <col min="7196" max="7438" width="10.140625" style="32"/>
    <col min="7439" max="7451" width="14" style="32" customWidth="1"/>
    <col min="7452" max="7694" width="10.140625" style="32"/>
    <col min="7695" max="7707" width="14" style="32" customWidth="1"/>
    <col min="7708" max="7950" width="10.140625" style="32"/>
    <col min="7951" max="7963" width="14" style="32" customWidth="1"/>
    <col min="7964" max="8206" width="10.140625" style="32"/>
    <col min="8207" max="8219" width="14" style="32" customWidth="1"/>
    <col min="8220" max="8462" width="10.140625" style="32"/>
    <col min="8463" max="8475" width="14" style="32" customWidth="1"/>
    <col min="8476" max="8718" width="10.140625" style="32"/>
    <col min="8719" max="8731" width="14" style="32" customWidth="1"/>
    <col min="8732" max="8974" width="10.140625" style="32"/>
    <col min="8975" max="8987" width="14" style="32" customWidth="1"/>
    <col min="8988" max="9230" width="10.140625" style="32"/>
    <col min="9231" max="9243" width="14" style="32" customWidth="1"/>
    <col min="9244" max="9486" width="10.140625" style="32"/>
    <col min="9487" max="9499" width="14" style="32" customWidth="1"/>
    <col min="9500" max="9742" width="10.140625" style="32"/>
    <col min="9743" max="9755" width="14" style="32" customWidth="1"/>
    <col min="9756" max="9998" width="10.140625" style="32"/>
    <col min="9999" max="10011" width="14" style="32" customWidth="1"/>
    <col min="10012" max="10254" width="10.140625" style="32"/>
    <col min="10255" max="10267" width="14" style="32" customWidth="1"/>
    <col min="10268" max="10510" width="10.140625" style="32"/>
    <col min="10511" max="10523" width="14" style="32" customWidth="1"/>
    <col min="10524" max="10766" width="10.140625" style="32"/>
    <col min="10767" max="10779" width="14" style="32" customWidth="1"/>
    <col min="10780" max="11022" width="10.140625" style="32"/>
    <col min="11023" max="11035" width="14" style="32" customWidth="1"/>
    <col min="11036" max="11278" width="10.140625" style="32"/>
    <col min="11279" max="11291" width="14" style="32" customWidth="1"/>
    <col min="11292" max="11534" width="10.140625" style="32"/>
    <col min="11535" max="11547" width="14" style="32" customWidth="1"/>
    <col min="11548" max="11790" width="10.140625" style="32"/>
    <col min="11791" max="11803" width="14" style="32" customWidth="1"/>
    <col min="11804" max="12046" width="10.140625" style="32"/>
    <col min="12047" max="12059" width="14" style="32" customWidth="1"/>
    <col min="12060" max="12302" width="10.140625" style="32"/>
    <col min="12303" max="12315" width="14" style="32" customWidth="1"/>
    <col min="12316" max="12558" width="10.140625" style="32"/>
    <col min="12559" max="12571" width="14" style="32" customWidth="1"/>
    <col min="12572" max="12814" width="10.140625" style="32"/>
    <col min="12815" max="12827" width="14" style="32" customWidth="1"/>
    <col min="12828" max="13070" width="10.140625" style="32"/>
    <col min="13071" max="13083" width="14" style="32" customWidth="1"/>
    <col min="13084" max="13326" width="10.140625" style="32"/>
    <col min="13327" max="13339" width="14" style="32" customWidth="1"/>
    <col min="13340" max="13582" width="10.140625" style="32"/>
    <col min="13583" max="13595" width="14" style="32" customWidth="1"/>
    <col min="13596" max="13838" width="10.140625" style="32"/>
    <col min="13839" max="13851" width="14" style="32" customWidth="1"/>
    <col min="13852" max="14094" width="10.140625" style="32"/>
    <col min="14095" max="14107" width="14" style="32" customWidth="1"/>
    <col min="14108" max="14350" width="10.140625" style="32"/>
    <col min="14351" max="14363" width="14" style="32" customWidth="1"/>
    <col min="14364" max="14606" width="10.140625" style="32"/>
    <col min="14607" max="14619" width="14" style="32" customWidth="1"/>
    <col min="14620" max="14862" width="10.140625" style="32"/>
    <col min="14863" max="14875" width="14" style="32" customWidth="1"/>
    <col min="14876" max="15118" width="10.140625" style="32"/>
    <col min="15119" max="15131" width="14" style="32" customWidth="1"/>
    <col min="15132" max="15374" width="10.140625" style="32"/>
    <col min="15375" max="15387" width="14" style="32" customWidth="1"/>
    <col min="15388" max="15630" width="10.140625" style="32"/>
    <col min="15631" max="15643" width="14" style="32" customWidth="1"/>
    <col min="15644" max="15886" width="10.140625" style="32"/>
    <col min="15887" max="15899" width="14" style="32" customWidth="1"/>
    <col min="15900" max="16142" width="10.140625" style="32"/>
    <col min="16143" max="16155" width="14" style="32" customWidth="1"/>
    <col min="16156" max="16384" width="10.140625" style="32"/>
  </cols>
  <sheetData>
    <row r="1" spans="2:33" ht="4.5" customHeight="1" x14ac:dyDescent="0.25">
      <c r="T1" s="363"/>
    </row>
    <row r="2" spans="2:33" ht="15" customHeight="1" x14ac:dyDescent="0.25">
      <c r="B2" s="364" t="s">
        <v>33</v>
      </c>
      <c r="C2" s="365"/>
      <c r="D2" s="543" t="s">
        <v>31</v>
      </c>
      <c r="E2" s="53"/>
      <c r="F2" s="32"/>
      <c r="G2" s="545" t="s">
        <v>9</v>
      </c>
      <c r="H2" s="545"/>
      <c r="I2" s="545"/>
      <c r="J2" s="545"/>
      <c r="K2" s="545"/>
      <c r="L2" s="545"/>
      <c r="M2" s="545"/>
      <c r="N2" s="545"/>
      <c r="O2" s="55"/>
      <c r="P2" s="546" t="s">
        <v>5</v>
      </c>
      <c r="Q2" s="546"/>
      <c r="R2" s="547" t="s">
        <v>5</v>
      </c>
      <c r="S2" s="548"/>
      <c r="T2" s="548"/>
      <c r="U2" s="36"/>
      <c r="V2" s="549" t="s">
        <v>11</v>
      </c>
      <c r="W2" s="549"/>
      <c r="X2" s="549"/>
      <c r="Y2" s="549"/>
      <c r="Z2" s="32"/>
      <c r="AA2" s="550" t="s">
        <v>10</v>
      </c>
      <c r="AB2" s="550"/>
      <c r="AC2" s="550"/>
      <c r="AD2" s="535" t="s">
        <v>10</v>
      </c>
      <c r="AE2" s="536"/>
      <c r="AF2" s="536"/>
      <c r="AG2" s="536"/>
    </row>
    <row r="3" spans="2:33" ht="15" customHeight="1" x14ac:dyDescent="0.25">
      <c r="B3" s="37" t="str">
        <f ca="1">MID(CELL("filename",A8),FIND("]",CELL("filename",A8))+1,LEN(CELL("filename",A8))-FIND("]",CELL("filename",A8)))</f>
        <v>01 Zámek č.p. 1</v>
      </c>
      <c r="C3" s="33"/>
      <c r="D3" s="543"/>
      <c r="E3" s="53"/>
      <c r="F3" s="32"/>
      <c r="G3" s="537" t="s">
        <v>144</v>
      </c>
      <c r="H3" s="537"/>
      <c r="I3" s="537" t="s">
        <v>6</v>
      </c>
      <c r="J3" s="537"/>
      <c r="K3" s="537"/>
      <c r="L3" s="537" t="s">
        <v>143</v>
      </c>
      <c r="M3" s="537"/>
      <c r="N3" s="537"/>
      <c r="O3" s="38"/>
      <c r="P3" s="538" t="s">
        <v>181</v>
      </c>
      <c r="Q3" s="538"/>
      <c r="R3" s="539" t="s">
        <v>182</v>
      </c>
      <c r="S3" s="538"/>
      <c r="T3" s="538"/>
      <c r="U3" s="38"/>
      <c r="V3" s="540" t="s">
        <v>183</v>
      </c>
      <c r="W3" s="540"/>
      <c r="X3" s="540"/>
      <c r="Y3" s="540"/>
      <c r="Z3" s="32"/>
      <c r="AA3" s="541" t="s">
        <v>184</v>
      </c>
      <c r="AB3" s="541"/>
      <c r="AC3" s="541"/>
      <c r="AD3" s="542" t="s">
        <v>185</v>
      </c>
      <c r="AE3" s="541"/>
      <c r="AF3" s="541"/>
      <c r="AG3" s="541"/>
    </row>
    <row r="4" spans="2:33" ht="15" customHeight="1" x14ac:dyDescent="0.25">
      <c r="B4" s="534" t="s">
        <v>186</v>
      </c>
      <c r="C4" s="534"/>
      <c r="D4" s="544"/>
      <c r="E4" s="53"/>
      <c r="F4" s="32"/>
      <c r="G4" s="29" t="s">
        <v>0</v>
      </c>
      <c r="H4" s="29" t="s">
        <v>7</v>
      </c>
      <c r="I4" s="29" t="s">
        <v>187</v>
      </c>
      <c r="J4" s="29" t="s">
        <v>13</v>
      </c>
      <c r="K4" s="29" t="s">
        <v>7</v>
      </c>
      <c r="L4" s="29" t="s">
        <v>0</v>
      </c>
      <c r="M4" s="29" t="s">
        <v>13</v>
      </c>
      <c r="N4" s="29" t="s">
        <v>7</v>
      </c>
      <c r="O4" s="56"/>
      <c r="P4" s="31" t="s">
        <v>188</v>
      </c>
      <c r="Q4" s="366" t="s">
        <v>7</v>
      </c>
      <c r="R4" s="367" t="s">
        <v>188</v>
      </c>
      <c r="S4" s="31" t="s">
        <v>189</v>
      </c>
      <c r="T4" s="366" t="s">
        <v>7</v>
      </c>
      <c r="U4" s="39"/>
      <c r="V4" s="301" t="s">
        <v>13</v>
      </c>
      <c r="W4" s="359" t="s">
        <v>190</v>
      </c>
      <c r="X4" s="359" t="s">
        <v>191</v>
      </c>
      <c r="Y4" s="30" t="s">
        <v>192</v>
      </c>
      <c r="Z4" s="32"/>
      <c r="AA4" s="368" t="s">
        <v>2</v>
      </c>
      <c r="AB4" s="368" t="s">
        <v>13</v>
      </c>
      <c r="AC4" s="369" t="s">
        <v>7</v>
      </c>
      <c r="AD4" s="370" t="s">
        <v>2</v>
      </c>
      <c r="AE4" s="371" t="s">
        <v>193</v>
      </c>
      <c r="AF4" s="368" t="s">
        <v>13</v>
      </c>
      <c r="AG4" s="369" t="s">
        <v>7</v>
      </c>
    </row>
    <row r="5" spans="2:33" ht="8.25" customHeight="1" x14ac:dyDescent="0.2">
      <c r="B5" s="534"/>
      <c r="C5" s="534"/>
      <c r="D5" s="52"/>
      <c r="E5" s="372"/>
      <c r="F5" s="64"/>
      <c r="G5" s="33"/>
      <c r="H5" s="33"/>
      <c r="R5" s="373"/>
      <c r="S5" s="374"/>
      <c r="T5" s="363"/>
      <c r="AD5" s="375"/>
      <c r="AE5" s="34"/>
      <c r="AF5" s="34"/>
      <c r="AG5" s="363"/>
    </row>
    <row r="6" spans="2:33" ht="15.75" x14ac:dyDescent="0.25">
      <c r="B6" s="47">
        <v>2015</v>
      </c>
      <c r="C6" s="33"/>
      <c r="D6" s="40" t="s">
        <v>18</v>
      </c>
      <c r="E6" s="376">
        <v>31</v>
      </c>
      <c r="F6" s="57"/>
      <c r="G6" s="377"/>
      <c r="H6" s="377"/>
      <c r="I6" s="378"/>
      <c r="J6" s="379"/>
      <c r="K6" s="380"/>
      <c r="L6" s="381"/>
      <c r="M6" s="381"/>
      <c r="N6" s="381"/>
      <c r="O6" s="41"/>
      <c r="P6" s="504">
        <v>1712</v>
      </c>
      <c r="Q6" s="512">
        <v>6851.79</v>
      </c>
      <c r="R6" s="510">
        <v>20447</v>
      </c>
      <c r="S6" s="504"/>
      <c r="T6" s="515">
        <v>75091.570000000007</v>
      </c>
      <c r="U6" s="58"/>
      <c r="V6" s="504">
        <v>104</v>
      </c>
      <c r="W6" s="504">
        <v>2975</v>
      </c>
      <c r="X6" s="504">
        <v>0</v>
      </c>
      <c r="Y6" s="506">
        <f>X6+W6</f>
        <v>2975</v>
      </c>
      <c r="Z6" s="59"/>
      <c r="AA6" s="382">
        <v>114967.09</v>
      </c>
      <c r="AB6" s="382">
        <v>10825.527</v>
      </c>
      <c r="AC6" s="383">
        <v>109917.18</v>
      </c>
      <c r="AD6" s="384"/>
      <c r="AE6" s="385"/>
      <c r="AF6" s="386"/>
      <c r="AG6" s="383"/>
    </row>
    <row r="7" spans="2:33" x14ac:dyDescent="0.25">
      <c r="B7" s="33"/>
      <c r="C7" s="33"/>
      <c r="D7" s="40" t="s">
        <v>19</v>
      </c>
      <c r="E7" s="376">
        <v>28</v>
      </c>
      <c r="F7" s="57"/>
      <c r="G7" s="377"/>
      <c r="H7" s="377"/>
      <c r="I7" s="378"/>
      <c r="J7" s="379"/>
      <c r="K7" s="380"/>
      <c r="L7" s="381"/>
      <c r="M7" s="381"/>
      <c r="N7" s="381"/>
      <c r="O7" s="41"/>
      <c r="P7" s="508"/>
      <c r="Q7" s="513"/>
      <c r="R7" s="523"/>
      <c r="S7" s="508"/>
      <c r="T7" s="516"/>
      <c r="U7" s="58"/>
      <c r="V7" s="505"/>
      <c r="W7" s="505"/>
      <c r="X7" s="505"/>
      <c r="Y7" s="507"/>
      <c r="Z7" s="58"/>
      <c r="AA7" s="531">
        <v>236994.57</v>
      </c>
      <c r="AB7" s="531">
        <v>22276.437999999998</v>
      </c>
      <c r="AC7" s="515">
        <v>331288.28999999998</v>
      </c>
      <c r="AD7" s="384"/>
      <c r="AE7" s="385"/>
      <c r="AF7" s="386"/>
      <c r="AG7" s="383"/>
    </row>
    <row r="8" spans="2:33" x14ac:dyDescent="0.25">
      <c r="B8" s="33"/>
      <c r="C8" s="33"/>
      <c r="D8" s="40" t="s">
        <v>20</v>
      </c>
      <c r="E8" s="376">
        <v>31</v>
      </c>
      <c r="F8" s="57"/>
      <c r="G8" s="377"/>
      <c r="H8" s="377"/>
      <c r="I8" s="378"/>
      <c r="J8" s="379"/>
      <c r="K8" s="380"/>
      <c r="L8" s="381"/>
      <c r="M8" s="381"/>
      <c r="N8" s="381"/>
      <c r="O8" s="41"/>
      <c r="P8" s="508"/>
      <c r="Q8" s="513"/>
      <c r="R8" s="523"/>
      <c r="S8" s="508"/>
      <c r="T8" s="516"/>
      <c r="U8" s="58"/>
      <c r="V8" s="504">
        <v>171</v>
      </c>
      <c r="W8" s="504">
        <v>5625</v>
      </c>
      <c r="X8" s="504">
        <v>0</v>
      </c>
      <c r="Y8" s="506">
        <f>X8+W8</f>
        <v>5625</v>
      </c>
      <c r="Z8" s="58"/>
      <c r="AA8" s="532"/>
      <c r="AB8" s="532"/>
      <c r="AC8" s="516"/>
      <c r="AD8" s="384"/>
      <c r="AE8" s="385"/>
      <c r="AF8" s="386"/>
      <c r="AG8" s="383"/>
    </row>
    <row r="9" spans="2:33" x14ac:dyDescent="0.25">
      <c r="B9" s="33"/>
      <c r="C9" s="33"/>
      <c r="D9" s="40" t="s">
        <v>21</v>
      </c>
      <c r="E9" s="376">
        <v>30</v>
      </c>
      <c r="F9" s="57"/>
      <c r="G9" s="377"/>
      <c r="H9" s="377"/>
      <c r="I9" s="378"/>
      <c r="J9" s="379"/>
      <c r="K9" s="380"/>
      <c r="L9" s="381"/>
      <c r="M9" s="381"/>
      <c r="N9" s="381"/>
      <c r="O9" s="41"/>
      <c r="P9" s="505"/>
      <c r="Q9" s="514"/>
      <c r="R9" s="511"/>
      <c r="S9" s="505"/>
      <c r="T9" s="517"/>
      <c r="U9" s="58"/>
      <c r="V9" s="508"/>
      <c r="W9" s="508"/>
      <c r="X9" s="508"/>
      <c r="Y9" s="509"/>
      <c r="Z9" s="58"/>
      <c r="AA9" s="532"/>
      <c r="AB9" s="532"/>
      <c r="AC9" s="516"/>
      <c r="AD9" s="387"/>
      <c r="AE9" s="388"/>
      <c r="AF9" s="388"/>
      <c r="AG9" s="383"/>
    </row>
    <row r="10" spans="2:33" x14ac:dyDescent="0.25">
      <c r="B10" s="33"/>
      <c r="C10" s="33"/>
      <c r="D10" s="40" t="s">
        <v>22</v>
      </c>
      <c r="E10" s="376">
        <v>31</v>
      </c>
      <c r="F10" s="57"/>
      <c r="G10" s="377"/>
      <c r="H10" s="377"/>
      <c r="I10" s="378"/>
      <c r="J10" s="379"/>
      <c r="K10" s="380"/>
      <c r="L10" s="381"/>
      <c r="M10" s="381"/>
      <c r="N10" s="381"/>
      <c r="O10" s="41"/>
      <c r="P10" s="504">
        <v>3453</v>
      </c>
      <c r="Q10" s="512">
        <v>13993.91</v>
      </c>
      <c r="R10" s="510">
        <v>32843</v>
      </c>
      <c r="S10" s="504"/>
      <c r="T10" s="515">
        <v>121551.47</v>
      </c>
      <c r="U10" s="58"/>
      <c r="V10" s="505"/>
      <c r="W10" s="505"/>
      <c r="X10" s="505"/>
      <c r="Y10" s="507"/>
      <c r="Z10" s="58"/>
      <c r="AA10" s="532"/>
      <c r="AB10" s="532"/>
      <c r="AC10" s="516"/>
      <c r="AD10" s="387"/>
      <c r="AE10" s="388"/>
      <c r="AF10" s="388"/>
      <c r="AG10" s="383"/>
    </row>
    <row r="11" spans="2:33" x14ac:dyDescent="0.25">
      <c r="B11" s="33"/>
      <c r="C11" s="33"/>
      <c r="D11" s="40" t="s">
        <v>23</v>
      </c>
      <c r="E11" s="376">
        <v>30</v>
      </c>
      <c r="F11" s="57"/>
      <c r="G11" s="377"/>
      <c r="H11" s="377"/>
      <c r="I11" s="378"/>
      <c r="J11" s="379"/>
      <c r="K11" s="380"/>
      <c r="L11" s="381"/>
      <c r="M11" s="381"/>
      <c r="N11" s="381"/>
      <c r="O11" s="41"/>
      <c r="P11" s="508"/>
      <c r="Q11" s="513"/>
      <c r="R11" s="523"/>
      <c r="S11" s="508"/>
      <c r="T11" s="516"/>
      <c r="U11" s="58"/>
      <c r="V11" s="504">
        <v>175</v>
      </c>
      <c r="W11" s="504">
        <v>5705</v>
      </c>
      <c r="X11" s="504">
        <v>0</v>
      </c>
      <c r="Y11" s="506">
        <f>X11+W11</f>
        <v>5705</v>
      </c>
      <c r="Z11" s="58"/>
      <c r="AA11" s="532"/>
      <c r="AB11" s="532"/>
      <c r="AC11" s="516"/>
      <c r="AD11" s="387"/>
      <c r="AE11" s="388"/>
      <c r="AF11" s="388"/>
      <c r="AG11" s="383"/>
    </row>
    <row r="12" spans="2:33" x14ac:dyDescent="0.25">
      <c r="B12" s="33"/>
      <c r="C12" s="33"/>
      <c r="D12" s="40" t="s">
        <v>24</v>
      </c>
      <c r="E12" s="376">
        <v>31</v>
      </c>
      <c r="F12" s="57"/>
      <c r="G12" s="377"/>
      <c r="H12" s="377"/>
      <c r="I12" s="378"/>
      <c r="J12" s="379"/>
      <c r="K12" s="380"/>
      <c r="L12" s="381"/>
      <c r="M12" s="381"/>
      <c r="N12" s="381"/>
      <c r="O12" s="41"/>
      <c r="P12" s="508"/>
      <c r="Q12" s="513"/>
      <c r="R12" s="523"/>
      <c r="S12" s="508"/>
      <c r="T12" s="516"/>
      <c r="U12" s="58"/>
      <c r="V12" s="508"/>
      <c r="W12" s="508"/>
      <c r="X12" s="508"/>
      <c r="Y12" s="509"/>
      <c r="Z12" s="58"/>
      <c r="AA12" s="532"/>
      <c r="AB12" s="532"/>
      <c r="AC12" s="516"/>
      <c r="AD12" s="387"/>
      <c r="AE12" s="388"/>
      <c r="AF12" s="388"/>
      <c r="AG12" s="383"/>
    </row>
    <row r="13" spans="2:33" x14ac:dyDescent="0.25">
      <c r="B13" s="33"/>
      <c r="C13" s="33"/>
      <c r="D13" s="40" t="s">
        <v>25</v>
      </c>
      <c r="E13" s="376">
        <v>31</v>
      </c>
      <c r="F13" s="57"/>
      <c r="G13" s="377"/>
      <c r="H13" s="377"/>
      <c r="I13" s="378"/>
      <c r="J13" s="379"/>
      <c r="K13" s="380"/>
      <c r="L13" s="381"/>
      <c r="M13" s="381"/>
      <c r="N13" s="381"/>
      <c r="O13" s="41"/>
      <c r="P13" s="508"/>
      <c r="Q13" s="513"/>
      <c r="R13" s="523"/>
      <c r="S13" s="508"/>
      <c r="T13" s="516"/>
      <c r="U13" s="58"/>
      <c r="V13" s="505"/>
      <c r="W13" s="505"/>
      <c r="X13" s="505"/>
      <c r="Y13" s="507"/>
      <c r="Z13" s="58"/>
      <c r="AA13" s="532"/>
      <c r="AB13" s="532"/>
      <c r="AC13" s="516"/>
      <c r="AD13" s="387"/>
      <c r="AE13" s="388"/>
      <c r="AF13" s="388"/>
      <c r="AG13" s="383"/>
    </row>
    <row r="14" spans="2:33" x14ac:dyDescent="0.25">
      <c r="B14" s="33"/>
      <c r="C14" s="33"/>
      <c r="D14" s="40" t="s">
        <v>26</v>
      </c>
      <c r="E14" s="376">
        <v>30</v>
      </c>
      <c r="F14" s="57"/>
      <c r="G14" s="377"/>
      <c r="H14" s="377"/>
      <c r="I14" s="378"/>
      <c r="J14" s="379"/>
      <c r="K14" s="380"/>
      <c r="L14" s="381"/>
      <c r="M14" s="381"/>
      <c r="N14" s="381"/>
      <c r="O14" s="41"/>
      <c r="P14" s="508"/>
      <c r="Q14" s="513"/>
      <c r="R14" s="523"/>
      <c r="S14" s="508"/>
      <c r="T14" s="516"/>
      <c r="U14" s="58"/>
      <c r="V14" s="504">
        <v>216</v>
      </c>
      <c r="W14" s="504">
        <v>7104</v>
      </c>
      <c r="X14" s="504">
        <v>0</v>
      </c>
      <c r="Y14" s="506">
        <f>X14+W14</f>
        <v>7104</v>
      </c>
      <c r="Z14" s="58"/>
      <c r="AA14" s="533"/>
      <c r="AB14" s="533"/>
      <c r="AC14" s="516"/>
      <c r="AD14" s="387"/>
      <c r="AE14" s="388"/>
      <c r="AF14" s="388"/>
      <c r="AG14" s="383"/>
    </row>
    <row r="15" spans="2:33" x14ac:dyDescent="0.25">
      <c r="B15" s="33"/>
      <c r="C15" s="33"/>
      <c r="D15" s="40" t="s">
        <v>27</v>
      </c>
      <c r="E15" s="376">
        <v>31</v>
      </c>
      <c r="F15" s="57"/>
      <c r="G15" s="377"/>
      <c r="H15" s="377"/>
      <c r="I15" s="378"/>
      <c r="J15" s="379"/>
      <c r="K15" s="380"/>
      <c r="L15" s="381"/>
      <c r="M15" s="381"/>
      <c r="N15" s="381"/>
      <c r="O15" s="41"/>
      <c r="P15" s="508"/>
      <c r="Q15" s="513"/>
      <c r="R15" s="523"/>
      <c r="S15" s="508"/>
      <c r="T15" s="516"/>
      <c r="U15" s="58"/>
      <c r="V15" s="508"/>
      <c r="W15" s="508"/>
      <c r="X15" s="508"/>
      <c r="Y15" s="509"/>
      <c r="Z15" s="58"/>
      <c r="AA15" s="524">
        <v>84183.28</v>
      </c>
      <c r="AB15" s="524">
        <v>7912.8549999999996</v>
      </c>
      <c r="AC15" s="516"/>
      <c r="AD15" s="387"/>
      <c r="AE15" s="388"/>
      <c r="AF15" s="388"/>
      <c r="AG15" s="383"/>
    </row>
    <row r="16" spans="2:33" x14ac:dyDescent="0.25">
      <c r="B16" s="33"/>
      <c r="C16" s="33"/>
      <c r="D16" s="40" t="s">
        <v>28</v>
      </c>
      <c r="E16" s="376">
        <v>30</v>
      </c>
      <c r="F16" s="57"/>
      <c r="G16" s="377"/>
      <c r="H16" s="377"/>
      <c r="I16" s="378"/>
      <c r="J16" s="379"/>
      <c r="K16" s="380"/>
      <c r="L16" s="381"/>
      <c r="M16" s="381"/>
      <c r="N16" s="381"/>
      <c r="O16" s="41"/>
      <c r="P16" s="508"/>
      <c r="Q16" s="513"/>
      <c r="R16" s="523"/>
      <c r="S16" s="508"/>
      <c r="T16" s="516"/>
      <c r="U16" s="58"/>
      <c r="V16" s="508"/>
      <c r="W16" s="508"/>
      <c r="X16" s="508"/>
      <c r="Y16" s="509"/>
      <c r="Z16" s="58"/>
      <c r="AA16" s="518"/>
      <c r="AB16" s="518"/>
      <c r="AC16" s="516"/>
      <c r="AD16" s="387"/>
      <c r="AE16" s="388"/>
      <c r="AF16" s="388"/>
      <c r="AG16" s="383"/>
    </row>
    <row r="17" spans="2:35" x14ac:dyDescent="0.25">
      <c r="B17" s="33"/>
      <c r="C17" s="33"/>
      <c r="D17" s="40" t="s">
        <v>29</v>
      </c>
      <c r="E17" s="376">
        <v>31</v>
      </c>
      <c r="F17" s="57"/>
      <c r="G17" s="377"/>
      <c r="H17" s="377"/>
      <c r="I17" s="378"/>
      <c r="J17" s="379"/>
      <c r="K17" s="380"/>
      <c r="L17" s="381"/>
      <c r="M17" s="381"/>
      <c r="N17" s="381"/>
      <c r="O17" s="41"/>
      <c r="P17" s="505"/>
      <c r="Q17" s="514"/>
      <c r="R17" s="511"/>
      <c r="S17" s="505"/>
      <c r="T17" s="517"/>
      <c r="U17" s="41"/>
      <c r="V17" s="505"/>
      <c r="W17" s="505"/>
      <c r="X17" s="505"/>
      <c r="Y17" s="507"/>
      <c r="Z17" s="58"/>
      <c r="AA17" s="519"/>
      <c r="AB17" s="519"/>
      <c r="AC17" s="517"/>
      <c r="AD17" s="387"/>
      <c r="AE17" s="388"/>
      <c r="AF17" s="388"/>
      <c r="AG17" s="383"/>
    </row>
    <row r="18" spans="2:35" x14ac:dyDescent="0.25">
      <c r="B18" s="43"/>
      <c r="C18" s="43"/>
      <c r="D18" s="44"/>
      <c r="E18" s="60"/>
      <c r="F18" s="60"/>
      <c r="G18" s="45">
        <f>SUM(G6:G17)</f>
        <v>0</v>
      </c>
      <c r="H18" s="45">
        <f t="shared" ref="H18:N18" si="0">SUM(H6:H17)</f>
        <v>0</v>
      </c>
      <c r="I18" s="45">
        <f t="shared" si="0"/>
        <v>0</v>
      </c>
      <c r="J18" s="45">
        <f t="shared" si="0"/>
        <v>0</v>
      </c>
      <c r="K18" s="389">
        <f t="shared" si="0"/>
        <v>0</v>
      </c>
      <c r="L18" s="45">
        <f t="shared" si="0"/>
        <v>0</v>
      </c>
      <c r="M18" s="45">
        <f t="shared" si="0"/>
        <v>0</v>
      </c>
      <c r="N18" s="45">
        <f t="shared" si="0"/>
        <v>0</v>
      </c>
      <c r="O18" s="54"/>
      <c r="P18" s="390">
        <f t="shared" ref="P18:R18" si="1">SUM(P6:P17)</f>
        <v>5165</v>
      </c>
      <c r="Q18" s="391">
        <f t="shared" si="1"/>
        <v>20845.7</v>
      </c>
      <c r="R18" s="392">
        <f t="shared" si="1"/>
        <v>53290</v>
      </c>
      <c r="S18" s="393"/>
      <c r="T18" s="394">
        <f t="shared" ref="T18" si="2">SUM(T6:T17)</f>
        <v>196643.04</v>
      </c>
      <c r="U18" s="61"/>
      <c r="V18" s="45">
        <f>SUM(V6:V17)</f>
        <v>666</v>
      </c>
      <c r="W18" s="45"/>
      <c r="X18" s="45"/>
      <c r="Y18" s="389">
        <f>SUM(Y6:Y17)</f>
        <v>21409</v>
      </c>
      <c r="Z18" s="32"/>
      <c r="AA18" s="45">
        <f>SUM(AA6:AA17)</f>
        <v>436144.94000000006</v>
      </c>
      <c r="AB18" s="45">
        <f>SUM(AB6:AB17)</f>
        <v>41014.819999999992</v>
      </c>
      <c r="AC18" s="391">
        <f t="shared" ref="AC18" si="3">SUM(AC6:AC17)</f>
        <v>441205.47</v>
      </c>
      <c r="AD18" s="395">
        <f>SUM(AD6:AD17)</f>
        <v>0</v>
      </c>
      <c r="AE18" s="46"/>
      <c r="AF18" s="46">
        <f t="shared" ref="AF18:AG18" si="4">SUM(AF6:AF17)</f>
        <v>0</v>
      </c>
      <c r="AG18" s="394">
        <f t="shared" si="4"/>
        <v>0</v>
      </c>
    </row>
    <row r="19" spans="2:35" ht="15.75" x14ac:dyDescent="0.25">
      <c r="B19" s="396"/>
      <c r="C19" s="397"/>
      <c r="D19" s="398" t="s">
        <v>34</v>
      </c>
      <c r="G19" s="48">
        <v>0.15</v>
      </c>
      <c r="H19" s="49">
        <f>H18*(1+G19)</f>
        <v>0</v>
      </c>
      <c r="I19" s="49"/>
      <c r="J19" s="51"/>
      <c r="K19" s="399">
        <f>K18*(1+G19)</f>
        <v>0</v>
      </c>
      <c r="L19" s="50"/>
      <c r="M19" s="51"/>
      <c r="N19" s="49">
        <f>N18*(1+G19)</f>
        <v>0</v>
      </c>
      <c r="O19" s="62"/>
      <c r="P19" s="400">
        <v>0.21</v>
      </c>
      <c r="Q19" s="401">
        <f>Q18*(1+P19)</f>
        <v>25223.296999999999</v>
      </c>
      <c r="R19" s="402">
        <v>0.21</v>
      </c>
      <c r="S19" s="400"/>
      <c r="T19" s="401">
        <f>T18*(1+R19)</f>
        <v>237938.0784</v>
      </c>
      <c r="U19" s="62"/>
      <c r="V19" s="48">
        <v>0.15</v>
      </c>
      <c r="W19" s="48"/>
      <c r="X19" s="48"/>
      <c r="Y19" s="399">
        <f>Y18*(1+V19)</f>
        <v>24620.35</v>
      </c>
      <c r="Z19" s="62"/>
      <c r="AA19" s="48">
        <v>0.21</v>
      </c>
      <c r="AB19" s="42"/>
      <c r="AC19" s="401">
        <f>AC18*(1+AA19)</f>
        <v>533858.61869999999</v>
      </c>
      <c r="AD19" s="403">
        <v>0.21</v>
      </c>
      <c r="AE19" s="48"/>
      <c r="AF19" s="42"/>
      <c r="AG19" s="401">
        <f>AG18*(1+AD19)</f>
        <v>0</v>
      </c>
    </row>
    <row r="20" spans="2:35" ht="20.100000000000001" customHeight="1" x14ac:dyDescent="0.25">
      <c r="B20" s="396"/>
      <c r="C20" s="397"/>
      <c r="D20" s="398"/>
      <c r="G20" s="404"/>
      <c r="H20" s="405"/>
      <c r="I20" s="405"/>
      <c r="J20" s="54"/>
      <c r="K20" s="405"/>
      <c r="L20" s="406"/>
      <c r="M20" s="54"/>
      <c r="N20" s="405"/>
      <c r="P20" s="407"/>
      <c r="Q20" s="408"/>
      <c r="R20" s="409"/>
      <c r="S20" s="410"/>
      <c r="T20" s="408"/>
      <c r="V20" s="404"/>
      <c r="W20" s="404"/>
      <c r="X20" s="404"/>
      <c r="Y20" s="405"/>
      <c r="AA20" s="404"/>
      <c r="AB20" s="411"/>
      <c r="AC20" s="408"/>
      <c r="AD20" s="412"/>
      <c r="AE20" s="404"/>
      <c r="AF20" s="411"/>
      <c r="AG20" s="408"/>
    </row>
    <row r="21" spans="2:35" ht="20.100000000000001" customHeight="1" x14ac:dyDescent="0.25">
      <c r="G21" s="53"/>
      <c r="H21" s="63"/>
      <c r="I21" s="63"/>
      <c r="J21" s="63"/>
      <c r="K21" s="63"/>
      <c r="L21" s="63"/>
      <c r="M21" s="63"/>
      <c r="N21" s="63"/>
      <c r="O21" s="65"/>
      <c r="P21" s="413"/>
      <c r="Q21" s="414"/>
      <c r="R21" s="415"/>
      <c r="S21" s="416"/>
      <c r="T21" s="417"/>
      <c r="U21" s="65"/>
      <c r="V21" s="63"/>
      <c r="W21" s="63"/>
      <c r="X21" s="63"/>
      <c r="Y21" s="63"/>
      <c r="Z21" s="65"/>
      <c r="AC21" s="414"/>
      <c r="AD21" s="375"/>
      <c r="AE21" s="34"/>
      <c r="AF21" s="34"/>
      <c r="AG21" s="417"/>
    </row>
    <row r="22" spans="2:35" ht="15.75" x14ac:dyDescent="0.25">
      <c r="B22" s="47">
        <f>B6+1</f>
        <v>2016</v>
      </c>
      <c r="D22" s="40" t="s">
        <v>18</v>
      </c>
      <c r="E22" s="376">
        <v>31</v>
      </c>
      <c r="F22" s="57"/>
      <c r="G22" s="377"/>
      <c r="H22" s="377"/>
      <c r="I22" s="378"/>
      <c r="J22" s="379"/>
      <c r="K22" s="380"/>
      <c r="L22" s="381"/>
      <c r="M22" s="381"/>
      <c r="N22" s="381"/>
      <c r="O22" s="41"/>
      <c r="P22" s="524">
        <v>2059</v>
      </c>
      <c r="Q22" s="520">
        <v>8425.25</v>
      </c>
      <c r="R22" s="528">
        <v>25803</v>
      </c>
      <c r="S22" s="524"/>
      <c r="T22" s="515">
        <v>95805.37</v>
      </c>
      <c r="U22" s="58"/>
      <c r="V22" s="504">
        <v>73</v>
      </c>
      <c r="W22" s="504">
        <f>V22*29.08</f>
        <v>2122.8399999999997</v>
      </c>
      <c r="X22" s="504">
        <v>0</v>
      </c>
      <c r="Y22" s="506">
        <f>X22+W22</f>
        <v>2122.8399999999997</v>
      </c>
      <c r="Z22" s="59"/>
      <c r="AA22" s="418">
        <v>131450.97</v>
      </c>
      <c r="AB22" s="418">
        <v>12346.523999999999</v>
      </c>
      <c r="AC22" s="419">
        <v>121126.62</v>
      </c>
      <c r="AD22" s="387"/>
      <c r="AE22" s="388"/>
      <c r="AF22" s="388"/>
      <c r="AG22" s="383"/>
    </row>
    <row r="23" spans="2:35" x14ac:dyDescent="0.25">
      <c r="D23" s="40" t="s">
        <v>19</v>
      </c>
      <c r="E23" s="376">
        <v>29</v>
      </c>
      <c r="F23" s="57"/>
      <c r="G23" s="377"/>
      <c r="H23" s="377"/>
      <c r="I23" s="378"/>
      <c r="J23" s="379"/>
      <c r="K23" s="380"/>
      <c r="L23" s="381"/>
      <c r="M23" s="381"/>
      <c r="N23" s="381"/>
      <c r="O23" s="41"/>
      <c r="P23" s="518"/>
      <c r="Q23" s="521"/>
      <c r="R23" s="529"/>
      <c r="S23" s="518"/>
      <c r="T23" s="516"/>
      <c r="U23" s="58"/>
      <c r="V23" s="505"/>
      <c r="W23" s="505"/>
      <c r="X23" s="505"/>
      <c r="Y23" s="507"/>
      <c r="Z23" s="58"/>
      <c r="AA23" s="524">
        <v>319052.92</v>
      </c>
      <c r="AB23" s="524">
        <v>29851.51</v>
      </c>
      <c r="AC23" s="525">
        <v>318785.67</v>
      </c>
      <c r="AD23" s="387"/>
      <c r="AE23" s="388"/>
      <c r="AF23" s="388"/>
      <c r="AG23" s="383"/>
    </row>
    <row r="24" spans="2:35" x14ac:dyDescent="0.25">
      <c r="D24" s="40" t="s">
        <v>20</v>
      </c>
      <c r="E24" s="376">
        <v>31</v>
      </c>
      <c r="F24" s="57"/>
      <c r="G24" s="377"/>
      <c r="H24" s="377"/>
      <c r="I24" s="378"/>
      <c r="J24" s="379"/>
      <c r="K24" s="380"/>
      <c r="L24" s="381"/>
      <c r="M24" s="381"/>
      <c r="N24" s="381"/>
      <c r="O24" s="41"/>
      <c r="P24" s="518"/>
      <c r="Q24" s="521"/>
      <c r="R24" s="529"/>
      <c r="S24" s="518"/>
      <c r="T24" s="516"/>
      <c r="U24" s="58"/>
      <c r="V24" s="504">
        <v>181</v>
      </c>
      <c r="W24" s="504">
        <f>V24*29.08</f>
        <v>5263.48</v>
      </c>
      <c r="X24" s="504">
        <v>0</v>
      </c>
      <c r="Y24" s="506">
        <f>X24+W24</f>
        <v>5263.48</v>
      </c>
      <c r="Z24" s="58"/>
      <c r="AA24" s="518"/>
      <c r="AB24" s="518"/>
      <c r="AC24" s="526"/>
      <c r="AD24" s="387"/>
      <c r="AE24" s="388"/>
      <c r="AF24" s="388"/>
      <c r="AG24" s="383"/>
    </row>
    <row r="25" spans="2:35" x14ac:dyDescent="0.25">
      <c r="D25" s="40" t="s">
        <v>21</v>
      </c>
      <c r="E25" s="376">
        <v>30</v>
      </c>
      <c r="F25" s="57"/>
      <c r="G25" s="377"/>
      <c r="H25" s="377"/>
      <c r="I25" s="378"/>
      <c r="J25" s="379"/>
      <c r="K25" s="380"/>
      <c r="L25" s="381"/>
      <c r="M25" s="381"/>
      <c r="N25" s="381"/>
      <c r="O25" s="41"/>
      <c r="P25" s="519"/>
      <c r="Q25" s="522"/>
      <c r="R25" s="530"/>
      <c r="S25" s="518"/>
      <c r="T25" s="517"/>
      <c r="U25" s="58"/>
      <c r="V25" s="508"/>
      <c r="W25" s="508"/>
      <c r="X25" s="508"/>
      <c r="Y25" s="509"/>
      <c r="Z25" s="58"/>
      <c r="AA25" s="518"/>
      <c r="AB25" s="518"/>
      <c r="AC25" s="526"/>
      <c r="AD25" s="387"/>
      <c r="AE25" s="388"/>
      <c r="AF25" s="388"/>
      <c r="AG25" s="420"/>
    </row>
    <row r="26" spans="2:35" x14ac:dyDescent="0.25">
      <c r="D26" s="40" t="s">
        <v>22</v>
      </c>
      <c r="E26" s="376">
        <v>31</v>
      </c>
      <c r="F26" s="57"/>
      <c r="G26" s="377"/>
      <c r="H26" s="377"/>
      <c r="I26" s="378"/>
      <c r="J26" s="379"/>
      <c r="K26" s="380"/>
      <c r="L26" s="381"/>
      <c r="M26" s="381"/>
      <c r="N26" s="381"/>
      <c r="O26" s="41"/>
      <c r="P26" s="524">
        <v>3326</v>
      </c>
      <c r="Q26" s="520">
        <v>13648.76</v>
      </c>
      <c r="R26" s="528">
        <v>29997</v>
      </c>
      <c r="S26" s="518"/>
      <c r="T26" s="515">
        <v>112323.76</v>
      </c>
      <c r="U26" s="58"/>
      <c r="V26" s="505"/>
      <c r="W26" s="505"/>
      <c r="X26" s="505"/>
      <c r="Y26" s="507"/>
      <c r="Z26" s="58"/>
      <c r="AA26" s="518"/>
      <c r="AB26" s="518"/>
      <c r="AC26" s="526"/>
      <c r="AD26" s="387"/>
      <c r="AE26" s="388"/>
      <c r="AF26" s="388"/>
      <c r="AG26" s="420"/>
      <c r="AI26" s="32" t="s">
        <v>194</v>
      </c>
    </row>
    <row r="27" spans="2:35" x14ac:dyDescent="0.25">
      <c r="D27" s="40" t="s">
        <v>23</v>
      </c>
      <c r="E27" s="376">
        <v>30</v>
      </c>
      <c r="F27" s="57"/>
      <c r="G27" s="377"/>
      <c r="H27" s="377"/>
      <c r="I27" s="378"/>
      <c r="J27" s="379"/>
      <c r="K27" s="380"/>
      <c r="L27" s="381"/>
      <c r="M27" s="381"/>
      <c r="N27" s="381"/>
      <c r="O27" s="41"/>
      <c r="P27" s="518"/>
      <c r="Q27" s="521"/>
      <c r="R27" s="529"/>
      <c r="S27" s="518"/>
      <c r="T27" s="516"/>
      <c r="U27" s="58"/>
      <c r="V27" s="504">
        <v>192</v>
      </c>
      <c r="W27" s="504">
        <f>V27*29.08</f>
        <v>5583.36</v>
      </c>
      <c r="X27" s="504">
        <v>0</v>
      </c>
      <c r="Y27" s="506">
        <f>X27+W27</f>
        <v>5583.36</v>
      </c>
      <c r="Z27" s="58"/>
      <c r="AA27" s="518"/>
      <c r="AB27" s="518"/>
      <c r="AC27" s="526"/>
      <c r="AD27" s="387"/>
      <c r="AE27" s="388"/>
      <c r="AF27" s="388"/>
      <c r="AG27" s="420"/>
    </row>
    <row r="28" spans="2:35" x14ac:dyDescent="0.25">
      <c r="D28" s="40" t="s">
        <v>24</v>
      </c>
      <c r="E28" s="376">
        <v>31</v>
      </c>
      <c r="F28" s="57"/>
      <c r="G28" s="377"/>
      <c r="H28" s="377"/>
      <c r="I28" s="378"/>
      <c r="J28" s="379"/>
      <c r="K28" s="380"/>
      <c r="L28" s="381"/>
      <c r="M28" s="381"/>
      <c r="N28" s="381"/>
      <c r="O28" s="41"/>
      <c r="P28" s="518"/>
      <c r="Q28" s="521"/>
      <c r="R28" s="529"/>
      <c r="S28" s="518"/>
      <c r="T28" s="516"/>
      <c r="U28" s="58"/>
      <c r="V28" s="508"/>
      <c r="W28" s="508"/>
      <c r="X28" s="508"/>
      <c r="Y28" s="509"/>
      <c r="Z28" s="58"/>
      <c r="AA28" s="518"/>
      <c r="AB28" s="518"/>
      <c r="AC28" s="526"/>
      <c r="AD28" s="387"/>
      <c r="AE28" s="388"/>
      <c r="AF28" s="388"/>
      <c r="AG28" s="420"/>
    </row>
    <row r="29" spans="2:35" x14ac:dyDescent="0.25">
      <c r="D29" s="40" t="s">
        <v>25</v>
      </c>
      <c r="E29" s="376">
        <v>31</v>
      </c>
      <c r="F29" s="57"/>
      <c r="G29" s="377"/>
      <c r="H29" s="377"/>
      <c r="I29" s="378"/>
      <c r="J29" s="379"/>
      <c r="K29" s="380"/>
      <c r="L29" s="381"/>
      <c r="M29" s="381"/>
      <c r="N29" s="381"/>
      <c r="O29" s="41"/>
      <c r="P29" s="518"/>
      <c r="Q29" s="521"/>
      <c r="R29" s="529"/>
      <c r="S29" s="518"/>
      <c r="T29" s="516"/>
      <c r="U29" s="58"/>
      <c r="V29" s="505"/>
      <c r="W29" s="505"/>
      <c r="X29" s="505"/>
      <c r="Y29" s="507"/>
      <c r="Z29" s="58"/>
      <c r="AA29" s="518"/>
      <c r="AB29" s="518"/>
      <c r="AC29" s="526"/>
      <c r="AD29" s="387"/>
      <c r="AE29" s="388"/>
      <c r="AF29" s="388"/>
      <c r="AG29" s="420"/>
    </row>
    <row r="30" spans="2:35" x14ac:dyDescent="0.25">
      <c r="D30" s="40" t="s">
        <v>26</v>
      </c>
      <c r="E30" s="376">
        <v>30</v>
      </c>
      <c r="F30" s="57"/>
      <c r="G30" s="377"/>
      <c r="H30" s="377"/>
      <c r="I30" s="378"/>
      <c r="J30" s="379"/>
      <c r="K30" s="380"/>
      <c r="L30" s="381"/>
      <c r="M30" s="381"/>
      <c r="N30" s="381"/>
      <c r="O30" s="41"/>
      <c r="P30" s="518"/>
      <c r="Q30" s="521"/>
      <c r="R30" s="529"/>
      <c r="S30" s="421"/>
      <c r="T30" s="516"/>
      <c r="U30" s="58"/>
      <c r="V30" s="504">
        <v>201</v>
      </c>
      <c r="W30" s="504">
        <f>V30*29.08</f>
        <v>5845.08</v>
      </c>
      <c r="X30" s="504">
        <v>0</v>
      </c>
      <c r="Y30" s="506">
        <f>X30+W30</f>
        <v>5845.08</v>
      </c>
      <c r="Z30" s="58"/>
      <c r="AA30" s="518"/>
      <c r="AB30" s="518"/>
      <c r="AC30" s="526"/>
      <c r="AD30" s="387"/>
      <c r="AE30" s="388"/>
      <c r="AF30" s="388"/>
      <c r="AG30" s="420"/>
    </row>
    <row r="31" spans="2:35" x14ac:dyDescent="0.25">
      <c r="D31" s="40" t="s">
        <v>27</v>
      </c>
      <c r="E31" s="376">
        <v>31</v>
      </c>
      <c r="F31" s="57"/>
      <c r="G31" s="377"/>
      <c r="H31" s="377"/>
      <c r="I31" s="378"/>
      <c r="J31" s="379"/>
      <c r="K31" s="380"/>
      <c r="L31" s="381"/>
      <c r="M31" s="381"/>
      <c r="N31" s="381"/>
      <c r="O31" s="41"/>
      <c r="P31" s="518"/>
      <c r="Q31" s="521"/>
      <c r="R31" s="529"/>
      <c r="S31" s="421"/>
      <c r="T31" s="516"/>
      <c r="U31" s="58"/>
      <c r="V31" s="508"/>
      <c r="W31" s="508"/>
      <c r="X31" s="508"/>
      <c r="Y31" s="509"/>
      <c r="Z31" s="58"/>
      <c r="AA31" s="518"/>
      <c r="AB31" s="518"/>
      <c r="AC31" s="526"/>
      <c r="AD31" s="387"/>
      <c r="AE31" s="388"/>
      <c r="AF31" s="388"/>
      <c r="AG31" s="420"/>
    </row>
    <row r="32" spans="2:35" x14ac:dyDescent="0.25">
      <c r="D32" s="40" t="s">
        <v>28</v>
      </c>
      <c r="E32" s="376">
        <v>30</v>
      </c>
      <c r="F32" s="57"/>
      <c r="G32" s="377"/>
      <c r="H32" s="377"/>
      <c r="I32" s="378"/>
      <c r="J32" s="379"/>
      <c r="K32" s="380"/>
      <c r="L32" s="381"/>
      <c r="M32" s="381"/>
      <c r="N32" s="381"/>
      <c r="O32" s="41"/>
      <c r="P32" s="518"/>
      <c r="Q32" s="521"/>
      <c r="R32" s="529"/>
      <c r="S32" s="518"/>
      <c r="T32" s="516"/>
      <c r="U32" s="58"/>
      <c r="V32" s="508"/>
      <c r="W32" s="508"/>
      <c r="X32" s="508"/>
      <c r="Y32" s="509"/>
      <c r="Z32" s="58"/>
      <c r="AA32" s="518"/>
      <c r="AB32" s="518"/>
      <c r="AC32" s="526"/>
      <c r="AD32" s="387"/>
      <c r="AE32" s="388"/>
      <c r="AF32" s="388"/>
      <c r="AG32" s="420"/>
    </row>
    <row r="33" spans="2:35" x14ac:dyDescent="0.25">
      <c r="D33" s="40" t="s">
        <v>29</v>
      </c>
      <c r="E33" s="376">
        <v>31</v>
      </c>
      <c r="F33" s="57"/>
      <c r="G33" s="377"/>
      <c r="H33" s="377"/>
      <c r="I33" s="378"/>
      <c r="J33" s="379"/>
      <c r="K33" s="380"/>
      <c r="L33" s="381"/>
      <c r="M33" s="381"/>
      <c r="N33" s="381"/>
      <c r="O33" s="41"/>
      <c r="P33" s="519"/>
      <c r="Q33" s="522"/>
      <c r="R33" s="530"/>
      <c r="S33" s="519"/>
      <c r="T33" s="517"/>
      <c r="U33" s="41"/>
      <c r="V33" s="505"/>
      <c r="W33" s="505"/>
      <c r="X33" s="505"/>
      <c r="Y33" s="507"/>
      <c r="Z33" s="58"/>
      <c r="AA33" s="519"/>
      <c r="AB33" s="519"/>
      <c r="AC33" s="527"/>
      <c r="AD33" s="387"/>
      <c r="AE33" s="388"/>
      <c r="AF33" s="388"/>
      <c r="AG33" s="420"/>
    </row>
    <row r="34" spans="2:35" x14ac:dyDescent="0.25">
      <c r="B34" s="43"/>
      <c r="C34" s="43"/>
      <c r="D34" s="44"/>
      <c r="E34" s="60"/>
      <c r="F34" s="60"/>
      <c r="G34" s="45">
        <f>SUM(G22:G33)</f>
        <v>0</v>
      </c>
      <c r="H34" s="45">
        <f t="shared" ref="H34:N34" si="5">SUM(H22:H33)</f>
        <v>0</v>
      </c>
      <c r="I34" s="45">
        <f t="shared" si="5"/>
        <v>0</v>
      </c>
      <c r="J34" s="45">
        <f t="shared" si="5"/>
        <v>0</v>
      </c>
      <c r="K34" s="389">
        <f t="shared" si="5"/>
        <v>0</v>
      </c>
      <c r="L34" s="45">
        <f t="shared" si="5"/>
        <v>0</v>
      </c>
      <c r="M34" s="45">
        <f t="shared" si="5"/>
        <v>0</v>
      </c>
      <c r="N34" s="45">
        <f t="shared" si="5"/>
        <v>0</v>
      </c>
      <c r="O34" s="45"/>
      <c r="P34" s="390">
        <f>SUM(P22:P33)</f>
        <v>5385</v>
      </c>
      <c r="Q34" s="391">
        <f>SUM(Q22:Q33)</f>
        <v>22074.010000000002</v>
      </c>
      <c r="R34" s="392">
        <f>SUM(R22:R33)</f>
        <v>55800</v>
      </c>
      <c r="S34" s="393"/>
      <c r="T34" s="394">
        <f>SUM(T22:T33)</f>
        <v>208129.13</v>
      </c>
      <c r="U34" s="45"/>
      <c r="V34" s="45">
        <f t="shared" ref="V34" si="6">SUM(V22:V33)</f>
        <v>647</v>
      </c>
      <c r="W34" s="45"/>
      <c r="X34" s="45"/>
      <c r="Y34" s="389">
        <f t="shared" ref="Y34" si="7">SUM(Y22:Y33)</f>
        <v>18814.760000000002</v>
      </c>
      <c r="Z34" s="46"/>
      <c r="AA34" s="45">
        <f>SUM(AA22:AA33)</f>
        <v>450503.89</v>
      </c>
      <c r="AB34" s="45">
        <f t="shared" ref="AB34:AC34" si="8">SUM(AB22:AB33)</f>
        <v>42198.034</v>
      </c>
      <c r="AC34" s="391">
        <f t="shared" si="8"/>
        <v>439912.29</v>
      </c>
      <c r="AD34" s="395">
        <f>SUM(AD22:AD33)</f>
        <v>0</v>
      </c>
      <c r="AE34" s="46"/>
      <c r="AF34" s="46">
        <f t="shared" ref="AF34:AG34" si="9">SUM(AF22:AF33)</f>
        <v>0</v>
      </c>
      <c r="AG34" s="394">
        <f t="shared" si="9"/>
        <v>0</v>
      </c>
    </row>
    <row r="35" spans="2:35" ht="15.75" x14ac:dyDescent="0.25">
      <c r="B35" s="396"/>
      <c r="C35" s="397"/>
      <c r="D35" s="398" t="s">
        <v>34</v>
      </c>
      <c r="G35" s="48">
        <v>0.15</v>
      </c>
      <c r="H35" s="49">
        <f>H34*(1+G35)</f>
        <v>0</v>
      </c>
      <c r="I35" s="49"/>
      <c r="J35" s="51"/>
      <c r="K35" s="399">
        <f>K34*(1+G35)</f>
        <v>0</v>
      </c>
      <c r="L35" s="50"/>
      <c r="M35" s="51"/>
      <c r="N35" s="49">
        <f>N34*(1+G35)</f>
        <v>0</v>
      </c>
      <c r="O35" s="42"/>
      <c r="P35" s="400">
        <v>0.21</v>
      </c>
      <c r="Q35" s="401">
        <f>Q34*(1+P35)</f>
        <v>26709.552100000001</v>
      </c>
      <c r="R35" s="402">
        <v>0.21</v>
      </c>
      <c r="S35" s="400"/>
      <c r="T35" s="401">
        <f>T34*(1+R35)</f>
        <v>251836.24729999999</v>
      </c>
      <c r="U35" s="42"/>
      <c r="V35" s="48">
        <v>0.15</v>
      </c>
      <c r="W35" s="48"/>
      <c r="X35" s="48"/>
      <c r="Y35" s="399">
        <f>Y34*(1+V35)</f>
        <v>21636.974000000002</v>
      </c>
      <c r="Z35" s="42"/>
      <c r="AA35" s="48">
        <v>0.21</v>
      </c>
      <c r="AB35" s="42"/>
      <c r="AC35" s="401">
        <f>AC34*(1+AA35)</f>
        <v>532293.87089999998</v>
      </c>
      <c r="AD35" s="403">
        <v>0.21</v>
      </c>
      <c r="AE35" s="48"/>
      <c r="AF35" s="42"/>
      <c r="AG35" s="401">
        <f>AG34*(1+AD35)</f>
        <v>0</v>
      </c>
    </row>
    <row r="36" spans="2:35" ht="15.75" x14ac:dyDescent="0.25">
      <c r="B36" s="396"/>
      <c r="C36" s="397"/>
      <c r="D36" s="398"/>
      <c r="G36" s="404"/>
      <c r="H36" s="405"/>
      <c r="I36" s="405"/>
      <c r="J36" s="54"/>
      <c r="K36" s="405"/>
      <c r="L36" s="406"/>
      <c r="M36" s="54"/>
      <c r="N36" s="405"/>
      <c r="O36" s="411"/>
      <c r="P36" s="407"/>
      <c r="Q36" s="408"/>
      <c r="R36" s="409"/>
      <c r="S36" s="410"/>
      <c r="T36" s="408"/>
      <c r="U36" s="411"/>
      <c r="V36" s="404"/>
      <c r="W36" s="404"/>
      <c r="X36" s="404"/>
      <c r="Y36" s="405"/>
      <c r="Z36" s="411"/>
      <c r="AA36" s="404"/>
      <c r="AB36" s="411"/>
      <c r="AC36" s="408"/>
      <c r="AD36" s="412"/>
      <c r="AE36" s="404"/>
      <c r="AF36" s="411"/>
      <c r="AG36" s="408"/>
    </row>
    <row r="37" spans="2:35" ht="20.100000000000001" customHeight="1" x14ac:dyDescent="0.25">
      <c r="G37" s="53"/>
      <c r="H37" s="63"/>
      <c r="I37" s="63"/>
      <c r="J37" s="63"/>
      <c r="K37" s="63"/>
      <c r="L37" s="63"/>
      <c r="M37" s="63"/>
      <c r="N37" s="63"/>
      <c r="O37" s="65"/>
      <c r="P37" s="413"/>
      <c r="Q37" s="414"/>
      <c r="R37" s="415"/>
      <c r="S37" s="416"/>
      <c r="T37" s="417"/>
      <c r="U37" s="65"/>
      <c r="V37" s="63"/>
      <c r="W37" s="63"/>
      <c r="X37" s="63"/>
      <c r="Y37" s="63"/>
      <c r="Z37" s="65"/>
      <c r="AC37" s="414"/>
      <c r="AD37" s="375"/>
      <c r="AE37" s="34"/>
      <c r="AF37" s="34"/>
      <c r="AG37" s="417"/>
    </row>
    <row r="38" spans="2:35" ht="15.75" x14ac:dyDescent="0.25">
      <c r="B38" s="47">
        <f>B22+1</f>
        <v>2017</v>
      </c>
      <c r="D38" s="40" t="s">
        <v>18</v>
      </c>
      <c r="E38" s="376">
        <v>31</v>
      </c>
      <c r="F38" s="57"/>
      <c r="G38" s="377"/>
      <c r="H38" s="377"/>
      <c r="I38" s="378"/>
      <c r="J38" s="422"/>
      <c r="K38" s="423"/>
      <c r="L38" s="422"/>
      <c r="M38" s="422"/>
      <c r="N38" s="422"/>
      <c r="O38" s="66"/>
      <c r="P38" s="504">
        <v>1767</v>
      </c>
      <c r="Q38" s="520">
        <v>7065.51</v>
      </c>
      <c r="R38" s="510">
        <v>26896</v>
      </c>
      <c r="S38" s="424"/>
      <c r="T38" s="515">
        <v>96076.25</v>
      </c>
      <c r="U38" s="58"/>
      <c r="V38" s="504">
        <v>101</v>
      </c>
      <c r="W38" s="504">
        <f>V38*29.86</f>
        <v>3015.86</v>
      </c>
      <c r="X38" s="504">
        <v>0</v>
      </c>
      <c r="Y38" s="506">
        <f>X38+W38</f>
        <v>3015.86</v>
      </c>
      <c r="Z38" s="59"/>
      <c r="AA38" s="424">
        <v>178014.13</v>
      </c>
      <c r="AB38" s="424">
        <v>16645.080000000002</v>
      </c>
      <c r="AC38" s="383">
        <v>130004.54</v>
      </c>
      <c r="AD38" s="387"/>
      <c r="AE38" s="424"/>
      <c r="AF38" s="388"/>
      <c r="AG38" s="383"/>
    </row>
    <row r="39" spans="2:35" x14ac:dyDescent="0.25">
      <c r="D39" s="40" t="s">
        <v>19</v>
      </c>
      <c r="E39" s="376">
        <v>28</v>
      </c>
      <c r="F39" s="57"/>
      <c r="G39" s="377"/>
      <c r="H39" s="377"/>
      <c r="I39" s="378"/>
      <c r="J39" s="422"/>
      <c r="K39" s="423"/>
      <c r="L39" s="422"/>
      <c r="M39" s="422"/>
      <c r="N39" s="422"/>
      <c r="O39" s="66"/>
      <c r="P39" s="508"/>
      <c r="Q39" s="521"/>
      <c r="R39" s="523"/>
      <c r="S39" s="424"/>
      <c r="T39" s="516"/>
      <c r="U39" s="58"/>
      <c r="V39" s="505"/>
      <c r="W39" s="505"/>
      <c r="X39" s="505"/>
      <c r="Y39" s="507"/>
      <c r="Z39" s="58"/>
      <c r="AA39" s="504">
        <v>314845.59000000003</v>
      </c>
      <c r="AB39" s="504">
        <v>29493.456999999999</v>
      </c>
      <c r="AC39" s="515">
        <v>258552.04</v>
      </c>
      <c r="AD39" s="387"/>
      <c r="AE39" s="424"/>
      <c r="AF39" s="388"/>
      <c r="AG39" s="383"/>
    </row>
    <row r="40" spans="2:35" x14ac:dyDescent="0.25">
      <c r="D40" s="40" t="s">
        <v>20</v>
      </c>
      <c r="E40" s="376">
        <v>31</v>
      </c>
      <c r="F40" s="57"/>
      <c r="G40" s="377"/>
      <c r="H40" s="377"/>
      <c r="I40" s="378"/>
      <c r="J40" s="422"/>
      <c r="K40" s="423"/>
      <c r="L40" s="422"/>
      <c r="M40" s="422"/>
      <c r="N40" s="422"/>
      <c r="O40" s="66"/>
      <c r="P40" s="508"/>
      <c r="Q40" s="521"/>
      <c r="R40" s="523"/>
      <c r="S40" s="424"/>
      <c r="T40" s="516"/>
      <c r="U40" s="58"/>
      <c r="V40" s="504">
        <v>199</v>
      </c>
      <c r="W40" s="504">
        <f>V40*29.86</f>
        <v>5942.14</v>
      </c>
      <c r="X40" s="504">
        <v>0</v>
      </c>
      <c r="Y40" s="506">
        <f>X40+W40</f>
        <v>5942.14</v>
      </c>
      <c r="Z40" s="58"/>
      <c r="AA40" s="508"/>
      <c r="AB40" s="508"/>
      <c r="AC40" s="516"/>
      <c r="AD40" s="387"/>
      <c r="AE40" s="424"/>
      <c r="AF40" s="388"/>
      <c r="AG40" s="383"/>
    </row>
    <row r="41" spans="2:35" x14ac:dyDescent="0.25">
      <c r="D41" s="40" t="s">
        <v>21</v>
      </c>
      <c r="E41" s="376">
        <v>30</v>
      </c>
      <c r="F41" s="57"/>
      <c r="G41" s="377"/>
      <c r="H41" s="377"/>
      <c r="I41" s="378"/>
      <c r="J41" s="422"/>
      <c r="K41" s="423"/>
      <c r="L41" s="422"/>
      <c r="M41" s="422"/>
      <c r="N41" s="422"/>
      <c r="O41" s="66"/>
      <c r="P41" s="505"/>
      <c r="Q41" s="522"/>
      <c r="R41" s="511"/>
      <c r="S41" s="424"/>
      <c r="T41" s="517"/>
      <c r="U41" s="58"/>
      <c r="V41" s="508"/>
      <c r="W41" s="508"/>
      <c r="X41" s="508"/>
      <c r="Y41" s="509"/>
      <c r="Z41" s="58"/>
      <c r="AA41" s="508"/>
      <c r="AB41" s="508"/>
      <c r="AC41" s="516"/>
      <c r="AD41" s="387"/>
      <c r="AE41" s="424"/>
      <c r="AF41" s="388"/>
      <c r="AG41" s="383"/>
      <c r="AI41" s="425"/>
    </row>
    <row r="42" spans="2:35" x14ac:dyDescent="0.25">
      <c r="D42" s="40" t="s">
        <v>22</v>
      </c>
      <c r="E42" s="376">
        <v>31</v>
      </c>
      <c r="F42" s="57"/>
      <c r="G42" s="377"/>
      <c r="H42" s="377"/>
      <c r="I42" s="378"/>
      <c r="J42" s="422"/>
      <c r="K42" s="423"/>
      <c r="L42" s="422"/>
      <c r="M42" s="422"/>
      <c r="N42" s="422"/>
      <c r="O42" s="66"/>
      <c r="P42" s="424">
        <v>415</v>
      </c>
      <c r="Q42" s="520">
        <v>11041.02</v>
      </c>
      <c r="R42" s="426">
        <v>5176</v>
      </c>
      <c r="S42" s="424"/>
      <c r="T42" s="515">
        <v>109480.61</v>
      </c>
      <c r="U42" s="58"/>
      <c r="V42" s="505"/>
      <c r="W42" s="505"/>
      <c r="X42" s="505"/>
      <c r="Y42" s="507"/>
      <c r="Z42" s="58"/>
      <c r="AA42" s="508"/>
      <c r="AB42" s="508"/>
      <c r="AC42" s="516"/>
      <c r="AD42" s="387"/>
      <c r="AE42" s="424"/>
      <c r="AF42" s="388"/>
      <c r="AG42" s="383"/>
    </row>
    <row r="43" spans="2:35" x14ac:dyDescent="0.25">
      <c r="D43" s="40" t="s">
        <v>23</v>
      </c>
      <c r="E43" s="376">
        <v>30</v>
      </c>
      <c r="F43" s="57"/>
      <c r="G43" s="377"/>
      <c r="H43" s="377"/>
      <c r="I43" s="378"/>
      <c r="J43" s="422"/>
      <c r="K43" s="423"/>
      <c r="L43" s="422"/>
      <c r="M43" s="422"/>
      <c r="N43" s="422"/>
      <c r="O43" s="66"/>
      <c r="P43" s="424">
        <v>229</v>
      </c>
      <c r="Q43" s="521"/>
      <c r="R43" s="426">
        <v>2494</v>
      </c>
      <c r="S43" s="424"/>
      <c r="T43" s="516"/>
      <c r="U43" s="58"/>
      <c r="V43" s="504">
        <v>164</v>
      </c>
      <c r="W43" s="504">
        <f>V43*29.86</f>
        <v>4897.04</v>
      </c>
      <c r="X43" s="504">
        <v>0</v>
      </c>
      <c r="Y43" s="506">
        <f>X43+W43</f>
        <v>4897.04</v>
      </c>
      <c r="Z43" s="58"/>
      <c r="AA43" s="508"/>
      <c r="AB43" s="508"/>
      <c r="AC43" s="516"/>
      <c r="AD43" s="387"/>
      <c r="AE43" s="424"/>
      <c r="AF43" s="388"/>
      <c r="AG43" s="383"/>
    </row>
    <row r="44" spans="2:35" x14ac:dyDescent="0.25">
      <c r="D44" s="40" t="s">
        <v>24</v>
      </c>
      <c r="E44" s="376">
        <v>31</v>
      </c>
      <c r="F44" s="57"/>
      <c r="G44" s="377"/>
      <c r="H44" s="377"/>
      <c r="I44" s="378"/>
      <c r="J44" s="422"/>
      <c r="K44" s="423"/>
      <c r="L44" s="422"/>
      <c r="M44" s="422"/>
      <c r="N44" s="422"/>
      <c r="O44" s="66"/>
      <c r="P44" s="424">
        <v>350</v>
      </c>
      <c r="Q44" s="521"/>
      <c r="R44" s="426">
        <v>4166</v>
      </c>
      <c r="S44" s="424"/>
      <c r="T44" s="516"/>
      <c r="U44" s="58"/>
      <c r="V44" s="508"/>
      <c r="W44" s="508"/>
      <c r="X44" s="508"/>
      <c r="Y44" s="509"/>
      <c r="Z44" s="58"/>
      <c r="AA44" s="508"/>
      <c r="AB44" s="508"/>
      <c r="AC44" s="516"/>
      <c r="AD44" s="387"/>
      <c r="AE44" s="424"/>
      <c r="AF44" s="388"/>
      <c r="AG44" s="383"/>
    </row>
    <row r="45" spans="2:35" x14ac:dyDescent="0.25">
      <c r="D45" s="40" t="s">
        <v>25</v>
      </c>
      <c r="E45" s="376">
        <v>31</v>
      </c>
      <c r="F45" s="57"/>
      <c r="G45" s="377"/>
      <c r="H45" s="377"/>
      <c r="I45" s="378"/>
      <c r="J45" s="422"/>
      <c r="K45" s="423"/>
      <c r="L45" s="422"/>
      <c r="M45" s="422"/>
      <c r="N45" s="422"/>
      <c r="O45" s="66"/>
      <c r="P45" s="424">
        <v>348</v>
      </c>
      <c r="Q45" s="521"/>
      <c r="R45" s="426">
        <v>3601</v>
      </c>
      <c r="S45" s="424"/>
      <c r="T45" s="516"/>
      <c r="U45" s="58"/>
      <c r="V45" s="508"/>
      <c r="W45" s="508"/>
      <c r="X45" s="508"/>
      <c r="Y45" s="509"/>
      <c r="Z45" s="58"/>
      <c r="AA45" s="508"/>
      <c r="AB45" s="508"/>
      <c r="AC45" s="516"/>
      <c r="AD45" s="387"/>
      <c r="AE45" s="424"/>
      <c r="AF45" s="388"/>
      <c r="AG45" s="383"/>
    </row>
    <row r="46" spans="2:35" x14ac:dyDescent="0.25">
      <c r="D46" s="40" t="s">
        <v>26</v>
      </c>
      <c r="E46" s="376">
        <v>30</v>
      </c>
      <c r="F46" s="57"/>
      <c r="G46" s="377"/>
      <c r="H46" s="377"/>
      <c r="I46" s="378"/>
      <c r="J46" s="422"/>
      <c r="K46" s="423"/>
      <c r="L46" s="422"/>
      <c r="M46" s="422"/>
      <c r="N46" s="422"/>
      <c r="O46" s="66"/>
      <c r="P46" s="424">
        <v>454</v>
      </c>
      <c r="Q46" s="521"/>
      <c r="R46" s="426">
        <v>4619</v>
      </c>
      <c r="S46" s="424"/>
      <c r="T46" s="516"/>
      <c r="U46" s="58"/>
      <c r="V46" s="505"/>
      <c r="W46" s="505"/>
      <c r="X46" s="505"/>
      <c r="Y46" s="507"/>
      <c r="Z46" s="58"/>
      <c r="AA46" s="508"/>
      <c r="AB46" s="508"/>
      <c r="AC46" s="516"/>
      <c r="AD46" s="387"/>
      <c r="AE46" s="424"/>
      <c r="AF46" s="388"/>
      <c r="AG46" s="383"/>
    </row>
    <row r="47" spans="2:35" x14ac:dyDescent="0.25">
      <c r="D47" s="40" t="s">
        <v>27</v>
      </c>
      <c r="E47" s="376">
        <v>31</v>
      </c>
      <c r="F47" s="57"/>
      <c r="G47" s="377"/>
      <c r="H47" s="377"/>
      <c r="I47" s="378"/>
      <c r="J47" s="422"/>
      <c r="K47" s="423"/>
      <c r="L47" s="422"/>
      <c r="M47" s="422"/>
      <c r="N47" s="422"/>
      <c r="O47" s="66"/>
      <c r="P47" s="424">
        <v>473</v>
      </c>
      <c r="Q47" s="521"/>
      <c r="R47" s="426">
        <v>5820</v>
      </c>
      <c r="S47" s="424"/>
      <c r="T47" s="516"/>
      <c r="U47" s="58"/>
      <c r="V47" s="504">
        <v>188</v>
      </c>
      <c r="W47" s="504">
        <f>V47*29.86</f>
        <v>5613.68</v>
      </c>
      <c r="X47" s="504">
        <v>0</v>
      </c>
      <c r="Y47" s="506">
        <f>X47+W47</f>
        <v>5613.68</v>
      </c>
      <c r="Z47" s="58"/>
      <c r="AA47" s="508"/>
      <c r="AB47" s="508"/>
      <c r="AC47" s="516"/>
      <c r="AD47" s="387"/>
      <c r="AE47" s="424"/>
      <c r="AF47" s="388"/>
      <c r="AG47" s="383"/>
    </row>
    <row r="48" spans="2:35" x14ac:dyDescent="0.25">
      <c r="D48" s="40" t="s">
        <v>28</v>
      </c>
      <c r="E48" s="376">
        <v>30</v>
      </c>
      <c r="F48" s="57"/>
      <c r="G48" s="377"/>
      <c r="H48" s="377"/>
      <c r="I48" s="378"/>
      <c r="J48" s="422"/>
      <c r="K48" s="423"/>
      <c r="L48" s="422"/>
      <c r="M48" s="422"/>
      <c r="N48" s="422"/>
      <c r="O48" s="66"/>
      <c r="P48" s="504">
        <v>434</v>
      </c>
      <c r="Q48" s="521"/>
      <c r="R48" s="510">
        <v>4428</v>
      </c>
      <c r="S48" s="504"/>
      <c r="T48" s="516"/>
      <c r="U48" s="58"/>
      <c r="V48" s="508"/>
      <c r="W48" s="508"/>
      <c r="X48" s="508"/>
      <c r="Y48" s="509"/>
      <c r="Z48" s="58"/>
      <c r="AA48" s="508"/>
      <c r="AB48" s="508"/>
      <c r="AC48" s="516"/>
      <c r="AD48" s="387"/>
      <c r="AE48" s="424"/>
      <c r="AF48" s="388"/>
      <c r="AG48" s="383"/>
    </row>
    <row r="49" spans="2:33" x14ac:dyDescent="0.25">
      <c r="D49" s="40" t="s">
        <v>29</v>
      </c>
      <c r="E49" s="376">
        <v>31</v>
      </c>
      <c r="F49" s="57"/>
      <c r="G49" s="377"/>
      <c r="H49" s="377"/>
      <c r="I49" s="378"/>
      <c r="J49" s="422"/>
      <c r="K49" s="423"/>
      <c r="L49" s="422"/>
      <c r="M49" s="422"/>
      <c r="N49" s="422"/>
      <c r="O49" s="66"/>
      <c r="P49" s="505"/>
      <c r="Q49" s="522"/>
      <c r="R49" s="511"/>
      <c r="S49" s="505"/>
      <c r="T49" s="517"/>
      <c r="U49" s="41"/>
      <c r="V49" s="505"/>
      <c r="W49" s="505"/>
      <c r="X49" s="505"/>
      <c r="Y49" s="507"/>
      <c r="Z49" s="58"/>
      <c r="AA49" s="505"/>
      <c r="AB49" s="505"/>
      <c r="AC49" s="517"/>
      <c r="AD49" s="387"/>
      <c r="AE49" s="424"/>
      <c r="AF49" s="388"/>
      <c r="AG49" s="383"/>
    </row>
    <row r="50" spans="2:33" x14ac:dyDescent="0.25">
      <c r="B50" s="43"/>
      <c r="C50" s="43"/>
      <c r="D50" s="44"/>
      <c r="E50" s="60"/>
      <c r="F50" s="60"/>
      <c r="G50" s="45">
        <f>SUM(G38:G49)</f>
        <v>0</v>
      </c>
      <c r="H50" s="45">
        <f t="shared" ref="H50:N50" si="10">SUM(H38:H49)</f>
        <v>0</v>
      </c>
      <c r="I50" s="45">
        <f t="shared" si="10"/>
        <v>0</v>
      </c>
      <c r="J50" s="45">
        <f t="shared" si="10"/>
        <v>0</v>
      </c>
      <c r="K50" s="389">
        <f t="shared" si="10"/>
        <v>0</v>
      </c>
      <c r="L50" s="45">
        <f t="shared" si="10"/>
        <v>0</v>
      </c>
      <c r="M50" s="45">
        <f t="shared" si="10"/>
        <v>0</v>
      </c>
      <c r="N50" s="45">
        <f t="shared" si="10"/>
        <v>0</v>
      </c>
      <c r="O50" s="45"/>
      <c r="P50" s="390">
        <f>SUM(P38:P49)</f>
        <v>4470</v>
      </c>
      <c r="Q50" s="391">
        <f>SUM(Q38:Q49)</f>
        <v>18106.53</v>
      </c>
      <c r="R50" s="427">
        <f>SUM(R38:R49)</f>
        <v>57200</v>
      </c>
      <c r="S50" s="393"/>
      <c r="T50" s="394">
        <f>SUM(T38:T49)</f>
        <v>205556.86</v>
      </c>
      <c r="U50" s="45"/>
      <c r="V50" s="45">
        <f>SUM(V38:V48)</f>
        <v>652</v>
      </c>
      <c r="W50" s="45"/>
      <c r="X50" s="45"/>
      <c r="Y50" s="389">
        <f t="shared" ref="Y50" si="11">SUM(Y38:Y49)</f>
        <v>19468.72</v>
      </c>
      <c r="Z50" s="46"/>
      <c r="AA50" s="45">
        <f>SUM(AA38:AA49)</f>
        <v>492859.72000000003</v>
      </c>
      <c r="AB50" s="45">
        <f>SUM(AB38:AB49)</f>
        <v>46138.536999999997</v>
      </c>
      <c r="AC50" s="391">
        <f>SUM(AC38:AC49)</f>
        <v>388556.58</v>
      </c>
      <c r="AD50" s="395">
        <f>SUM(AD38:AD49)</f>
        <v>0</v>
      </c>
      <c r="AE50" s="46"/>
      <c r="AF50" s="46">
        <f>SUM(AF38:AF49)</f>
        <v>0</v>
      </c>
      <c r="AG50" s="394">
        <f t="shared" ref="AG50" si="12">SUM(AG38:AG49)</f>
        <v>0</v>
      </c>
    </row>
    <row r="51" spans="2:33" ht="15.75" x14ac:dyDescent="0.25">
      <c r="B51" s="396"/>
      <c r="C51" s="397"/>
      <c r="D51" s="398" t="s">
        <v>34</v>
      </c>
      <c r="G51" s="48">
        <v>0.15</v>
      </c>
      <c r="H51" s="49">
        <f>H50*(1+G51)</f>
        <v>0</v>
      </c>
      <c r="I51" s="49"/>
      <c r="J51" s="51"/>
      <c r="K51" s="399">
        <f>K50*(1+G51)</f>
        <v>0</v>
      </c>
      <c r="L51" s="50"/>
      <c r="M51" s="51"/>
      <c r="N51" s="49">
        <f>N50*(1+G51)</f>
        <v>0</v>
      </c>
      <c r="O51" s="42"/>
      <c r="P51" s="400">
        <v>0.21</v>
      </c>
      <c r="Q51" s="401">
        <f>Q50*(1+P51)</f>
        <v>21908.901299999998</v>
      </c>
      <c r="R51" s="402">
        <v>0.21</v>
      </c>
      <c r="S51" s="400"/>
      <c r="T51" s="401">
        <f>T50*(1+R51)</f>
        <v>248723.80059999999</v>
      </c>
      <c r="U51" s="42"/>
      <c r="V51" s="48">
        <v>0.15</v>
      </c>
      <c r="W51" s="48"/>
      <c r="X51" s="48"/>
      <c r="Y51" s="399">
        <f>Y50*(1+V51)</f>
        <v>22389.027999999998</v>
      </c>
      <c r="Z51" s="42"/>
      <c r="AA51" s="48">
        <v>0.21</v>
      </c>
      <c r="AB51" s="42"/>
      <c r="AC51" s="401">
        <f>AC50*(1+AA51)</f>
        <v>470153.46179999999</v>
      </c>
      <c r="AD51" s="403">
        <v>0.21</v>
      </c>
      <c r="AE51" s="48"/>
      <c r="AF51" s="42"/>
      <c r="AG51" s="401">
        <f>AG50*(1+AD51)</f>
        <v>0</v>
      </c>
    </row>
    <row r="52" spans="2:33" ht="15.75" x14ac:dyDescent="0.25">
      <c r="B52" s="396"/>
      <c r="C52" s="397"/>
      <c r="D52" s="398"/>
      <c r="G52" s="404"/>
      <c r="H52" s="405"/>
      <c r="I52" s="405"/>
      <c r="J52" s="54"/>
      <c r="K52" s="405"/>
      <c r="L52" s="406"/>
      <c r="M52" s="54"/>
      <c r="N52" s="405"/>
      <c r="O52" s="411"/>
      <c r="P52" s="407"/>
      <c r="Q52" s="408"/>
      <c r="R52" s="409"/>
      <c r="S52" s="407"/>
      <c r="T52" s="408"/>
      <c r="U52" s="411"/>
      <c r="V52" s="404"/>
      <c r="W52" s="404"/>
      <c r="X52" s="404"/>
      <c r="Y52" s="405"/>
      <c r="Z52" s="411"/>
      <c r="AA52" s="404"/>
      <c r="AB52" s="411"/>
      <c r="AC52" s="408"/>
      <c r="AD52" s="412"/>
      <c r="AE52" s="404"/>
      <c r="AF52" s="411"/>
      <c r="AG52" s="408"/>
    </row>
    <row r="53" spans="2:33" ht="15.75" customHeight="1" outlineLevel="1" x14ac:dyDescent="0.25">
      <c r="B53" s="396"/>
      <c r="C53" s="397"/>
      <c r="D53" s="398"/>
      <c r="G53" s="404"/>
      <c r="H53" s="405"/>
      <c r="I53" s="405"/>
      <c r="J53" s="54"/>
      <c r="K53" s="405"/>
      <c r="L53" s="406"/>
      <c r="M53" s="54"/>
      <c r="N53" s="405"/>
      <c r="O53" s="411"/>
      <c r="P53" s="407"/>
      <c r="Q53" s="408"/>
      <c r="R53" s="409"/>
      <c r="S53" s="407"/>
      <c r="T53" s="408"/>
      <c r="U53" s="411"/>
      <c r="V53" s="404"/>
      <c r="W53" s="404"/>
      <c r="X53" s="404"/>
      <c r="Y53" s="405"/>
      <c r="Z53" s="411"/>
      <c r="AA53" s="404"/>
      <c r="AB53" s="411"/>
      <c r="AC53" s="408"/>
      <c r="AD53" s="412"/>
      <c r="AE53" s="404"/>
      <c r="AF53" s="411"/>
      <c r="AG53" s="408"/>
    </row>
    <row r="54" spans="2:33" ht="15.75" customHeight="1" outlineLevel="1" x14ac:dyDescent="0.25">
      <c r="B54" s="47">
        <f>B38+1</f>
        <v>2018</v>
      </c>
      <c r="D54" s="40" t="s">
        <v>18</v>
      </c>
      <c r="E54" s="376">
        <v>31</v>
      </c>
      <c r="F54" s="57"/>
      <c r="G54" s="377"/>
      <c r="H54" s="377"/>
      <c r="I54" s="428"/>
      <c r="J54" s="422"/>
      <c r="K54" s="423"/>
      <c r="L54" s="422"/>
      <c r="M54" s="422"/>
      <c r="N54" s="422"/>
      <c r="O54" s="66"/>
      <c r="P54" s="424">
        <v>719</v>
      </c>
      <c r="Q54" s="512">
        <v>6492.16</v>
      </c>
      <c r="R54" s="426">
        <v>9658</v>
      </c>
      <c r="S54" s="424"/>
      <c r="T54" s="515">
        <v>78577.13</v>
      </c>
      <c r="U54" s="58"/>
      <c r="V54" s="424">
        <v>60</v>
      </c>
      <c r="W54" s="424">
        <f>V54*29.86</f>
        <v>1791.6</v>
      </c>
      <c r="X54" s="424">
        <v>0</v>
      </c>
      <c r="Y54" s="429">
        <f>X54+W54</f>
        <v>1791.6</v>
      </c>
      <c r="Z54" s="59"/>
      <c r="AA54" s="424">
        <v>142705.01999999999</v>
      </c>
      <c r="AB54" s="424">
        <v>13379.181</v>
      </c>
      <c r="AC54" s="383">
        <v>104753.23</v>
      </c>
      <c r="AD54" s="387"/>
      <c r="AE54" s="424"/>
      <c r="AF54" s="388"/>
      <c r="AG54" s="430"/>
    </row>
    <row r="55" spans="2:33" ht="15" customHeight="1" outlineLevel="1" x14ac:dyDescent="0.25">
      <c r="D55" s="40" t="s">
        <v>19</v>
      </c>
      <c r="E55" s="376">
        <v>28</v>
      </c>
      <c r="F55" s="57"/>
      <c r="G55" s="377"/>
      <c r="H55" s="377"/>
      <c r="I55" s="428"/>
      <c r="J55" s="422"/>
      <c r="K55" s="423"/>
      <c r="L55" s="422"/>
      <c r="M55" s="422"/>
      <c r="N55" s="422"/>
      <c r="O55" s="66"/>
      <c r="P55" s="424">
        <v>353</v>
      </c>
      <c r="Q55" s="513"/>
      <c r="R55" s="426">
        <v>4538</v>
      </c>
      <c r="S55" s="424"/>
      <c r="T55" s="516"/>
      <c r="U55" s="58"/>
      <c r="V55" s="424">
        <v>31</v>
      </c>
      <c r="W55" s="424">
        <f>V55*29.86</f>
        <v>925.66</v>
      </c>
      <c r="X55" s="424">
        <v>0</v>
      </c>
      <c r="Y55" s="429">
        <f>X55+W55</f>
        <v>925.66</v>
      </c>
      <c r="Z55" s="58"/>
      <c r="AA55" s="424"/>
      <c r="AB55" s="424"/>
      <c r="AC55" s="383"/>
      <c r="AD55" s="387"/>
      <c r="AE55" s="424"/>
      <c r="AF55" s="388"/>
      <c r="AG55" s="430"/>
    </row>
    <row r="56" spans="2:33" ht="15" customHeight="1" outlineLevel="1" x14ac:dyDescent="0.25">
      <c r="D56" s="40" t="s">
        <v>20</v>
      </c>
      <c r="E56" s="376">
        <v>31</v>
      </c>
      <c r="F56" s="57"/>
      <c r="G56" s="377"/>
      <c r="H56" s="377"/>
      <c r="I56" s="428"/>
      <c r="J56" s="422"/>
      <c r="K56" s="423"/>
      <c r="L56" s="422"/>
      <c r="M56" s="422"/>
      <c r="N56" s="422"/>
      <c r="O56" s="66"/>
      <c r="P56" s="424">
        <v>508</v>
      </c>
      <c r="Q56" s="514"/>
      <c r="R56" s="426">
        <v>7133</v>
      </c>
      <c r="S56" s="504"/>
      <c r="T56" s="517"/>
      <c r="U56" s="58"/>
      <c r="V56" s="504">
        <v>162</v>
      </c>
      <c r="W56" s="504">
        <f>V56*29.86</f>
        <v>4837.32</v>
      </c>
      <c r="X56" s="504">
        <v>0</v>
      </c>
      <c r="Y56" s="506">
        <f>X56+W56</f>
        <v>4837.32</v>
      </c>
      <c r="Z56" s="58"/>
      <c r="AA56" s="424"/>
      <c r="AB56" s="424"/>
      <c r="AC56" s="383"/>
      <c r="AD56" s="431"/>
      <c r="AE56" s="432"/>
      <c r="AF56" s="388"/>
      <c r="AG56" s="430"/>
    </row>
    <row r="57" spans="2:33" ht="15" customHeight="1" outlineLevel="1" x14ac:dyDescent="0.25">
      <c r="D57" s="40" t="s">
        <v>21</v>
      </c>
      <c r="E57" s="376">
        <v>30</v>
      </c>
      <c r="F57" s="57"/>
      <c r="G57" s="377"/>
      <c r="H57" s="377"/>
      <c r="I57" s="428"/>
      <c r="J57" s="422"/>
      <c r="K57" s="423"/>
      <c r="L57" s="422"/>
      <c r="M57" s="422"/>
      <c r="N57" s="422"/>
      <c r="O57" s="66"/>
      <c r="P57" s="433"/>
      <c r="Q57" s="434"/>
      <c r="R57" s="435"/>
      <c r="S57" s="505"/>
      <c r="T57" s="383"/>
      <c r="U57" s="58"/>
      <c r="V57" s="508"/>
      <c r="W57" s="508"/>
      <c r="X57" s="508"/>
      <c r="Y57" s="509"/>
      <c r="Z57" s="58"/>
      <c r="AA57" s="432"/>
      <c r="AB57" s="432"/>
      <c r="AC57" s="430"/>
      <c r="AD57" s="387"/>
      <c r="AE57" s="388"/>
      <c r="AF57" s="388"/>
      <c r="AG57" s="430"/>
    </row>
    <row r="58" spans="2:33" ht="15" customHeight="1" outlineLevel="1" x14ac:dyDescent="0.25">
      <c r="D58" s="40" t="s">
        <v>22</v>
      </c>
      <c r="E58" s="376">
        <v>31</v>
      </c>
      <c r="F58" s="57"/>
      <c r="G58" s="377"/>
      <c r="H58" s="377"/>
      <c r="I58" s="428"/>
      <c r="J58" s="422"/>
      <c r="K58" s="423"/>
      <c r="L58" s="422"/>
      <c r="M58" s="422"/>
      <c r="N58" s="422"/>
      <c r="O58" s="66"/>
      <c r="P58" s="424"/>
      <c r="Q58" s="436"/>
      <c r="R58" s="426"/>
      <c r="S58" s="437"/>
      <c r="T58" s="430"/>
      <c r="U58" s="58"/>
      <c r="V58" s="505"/>
      <c r="W58" s="505"/>
      <c r="X58" s="505"/>
      <c r="Y58" s="507"/>
      <c r="Z58" s="58"/>
      <c r="AA58" s="424"/>
      <c r="AB58" s="424"/>
      <c r="AC58" s="430"/>
      <c r="AD58" s="387"/>
      <c r="AE58" s="388"/>
      <c r="AF58" s="388"/>
      <c r="AG58" s="430"/>
    </row>
    <row r="59" spans="2:33" ht="15" customHeight="1" outlineLevel="1" x14ac:dyDescent="0.25">
      <c r="D59" s="40" t="s">
        <v>23</v>
      </c>
      <c r="E59" s="376">
        <v>30</v>
      </c>
      <c r="F59" s="57"/>
      <c r="G59" s="377"/>
      <c r="H59" s="377"/>
      <c r="I59" s="428"/>
      <c r="J59" s="422"/>
      <c r="K59" s="423"/>
      <c r="L59" s="422"/>
      <c r="M59" s="422"/>
      <c r="N59" s="422"/>
      <c r="O59" s="66"/>
      <c r="P59" s="424"/>
      <c r="Q59" s="436"/>
      <c r="R59" s="426"/>
      <c r="S59" s="437"/>
      <c r="T59" s="430"/>
      <c r="U59" s="58"/>
      <c r="V59" s="424"/>
      <c r="W59" s="388"/>
      <c r="X59" s="388"/>
      <c r="Y59" s="423"/>
      <c r="Z59" s="58"/>
      <c r="AA59" s="424"/>
      <c r="AB59" s="424"/>
      <c r="AC59" s="430"/>
      <c r="AD59" s="387"/>
      <c r="AE59" s="388"/>
      <c r="AF59" s="388"/>
      <c r="AG59" s="430"/>
    </row>
    <row r="60" spans="2:33" ht="15" customHeight="1" outlineLevel="1" x14ac:dyDescent="0.25">
      <c r="D60" s="40" t="s">
        <v>24</v>
      </c>
      <c r="E60" s="376">
        <v>31</v>
      </c>
      <c r="F60" s="57"/>
      <c r="G60" s="377"/>
      <c r="H60" s="377"/>
      <c r="I60" s="428"/>
      <c r="J60" s="422"/>
      <c r="K60" s="423"/>
      <c r="L60" s="422"/>
      <c r="M60" s="422"/>
      <c r="N60" s="422"/>
      <c r="O60" s="66"/>
      <c r="P60" s="424"/>
      <c r="Q60" s="436"/>
      <c r="R60" s="426"/>
      <c r="S60" s="437"/>
      <c r="T60" s="430"/>
      <c r="U60" s="58"/>
      <c r="V60" s="424"/>
      <c r="W60" s="388"/>
      <c r="X60" s="388"/>
      <c r="Y60" s="423"/>
      <c r="Z60" s="58"/>
      <c r="AA60" s="424"/>
      <c r="AB60" s="424"/>
      <c r="AC60" s="430"/>
      <c r="AD60" s="387"/>
      <c r="AE60" s="388"/>
      <c r="AF60" s="388"/>
      <c r="AG60" s="430"/>
    </row>
    <row r="61" spans="2:33" ht="15" customHeight="1" outlineLevel="1" x14ac:dyDescent="0.25">
      <c r="D61" s="40" t="s">
        <v>25</v>
      </c>
      <c r="E61" s="376">
        <v>31</v>
      </c>
      <c r="F61" s="57"/>
      <c r="G61" s="377"/>
      <c r="H61" s="377"/>
      <c r="I61" s="428"/>
      <c r="J61" s="422"/>
      <c r="K61" s="423"/>
      <c r="L61" s="422"/>
      <c r="M61" s="422"/>
      <c r="N61" s="422"/>
      <c r="O61" s="66"/>
      <c r="P61" s="424"/>
      <c r="Q61" s="436"/>
      <c r="R61" s="426"/>
      <c r="S61" s="437"/>
      <c r="T61" s="430"/>
      <c r="U61" s="58"/>
      <c r="V61" s="424"/>
      <c r="W61" s="388"/>
      <c r="X61" s="388"/>
      <c r="Y61" s="383"/>
      <c r="Z61" s="58"/>
      <c r="AA61" s="424"/>
      <c r="AB61" s="424"/>
      <c r="AC61" s="430"/>
      <c r="AD61" s="387"/>
      <c r="AE61" s="388"/>
      <c r="AF61" s="388"/>
      <c r="AG61" s="430"/>
    </row>
    <row r="62" spans="2:33" ht="15" customHeight="1" outlineLevel="1" x14ac:dyDescent="0.25">
      <c r="D62" s="40" t="s">
        <v>26</v>
      </c>
      <c r="E62" s="376">
        <v>30</v>
      </c>
      <c r="F62" s="57"/>
      <c r="G62" s="377"/>
      <c r="H62" s="377"/>
      <c r="I62" s="428"/>
      <c r="J62" s="422"/>
      <c r="K62" s="423"/>
      <c r="L62" s="422"/>
      <c r="M62" s="422"/>
      <c r="N62" s="422"/>
      <c r="O62" s="66"/>
      <c r="P62" s="424"/>
      <c r="Q62" s="436"/>
      <c r="R62" s="426"/>
      <c r="S62" s="437"/>
      <c r="T62" s="430"/>
      <c r="U62" s="58"/>
      <c r="V62" s="424"/>
      <c r="W62" s="388"/>
      <c r="X62" s="388"/>
      <c r="Y62" s="383"/>
      <c r="Z62" s="58"/>
      <c r="AA62" s="424"/>
      <c r="AB62" s="424"/>
      <c r="AC62" s="430"/>
      <c r="AD62" s="387"/>
      <c r="AE62" s="388"/>
      <c r="AF62" s="388"/>
      <c r="AG62" s="430"/>
    </row>
    <row r="63" spans="2:33" ht="15" customHeight="1" outlineLevel="1" x14ac:dyDescent="0.25">
      <c r="D63" s="40" t="s">
        <v>27</v>
      </c>
      <c r="E63" s="376">
        <v>31</v>
      </c>
      <c r="F63" s="57"/>
      <c r="G63" s="377"/>
      <c r="H63" s="377"/>
      <c r="I63" s="428"/>
      <c r="J63" s="422"/>
      <c r="K63" s="423"/>
      <c r="L63" s="422"/>
      <c r="M63" s="422"/>
      <c r="N63" s="422"/>
      <c r="O63" s="66"/>
      <c r="P63" s="424"/>
      <c r="Q63" s="436"/>
      <c r="R63" s="426"/>
      <c r="S63" s="437"/>
      <c r="T63" s="430"/>
      <c r="U63" s="58"/>
      <c r="V63" s="424"/>
      <c r="W63" s="388"/>
      <c r="X63" s="388"/>
      <c r="Y63" s="383"/>
      <c r="Z63" s="58"/>
      <c r="AA63" s="424"/>
      <c r="AB63" s="424"/>
      <c r="AC63" s="430"/>
      <c r="AD63" s="387"/>
      <c r="AE63" s="388"/>
      <c r="AF63" s="388"/>
      <c r="AG63" s="430"/>
    </row>
    <row r="64" spans="2:33" ht="15" customHeight="1" outlineLevel="1" x14ac:dyDescent="0.25">
      <c r="D64" s="40" t="s">
        <v>28</v>
      </c>
      <c r="E64" s="376">
        <v>30</v>
      </c>
      <c r="F64" s="57"/>
      <c r="G64" s="377"/>
      <c r="H64" s="377"/>
      <c r="I64" s="428"/>
      <c r="J64" s="422"/>
      <c r="K64" s="423"/>
      <c r="L64" s="422"/>
      <c r="M64" s="422"/>
      <c r="N64" s="422"/>
      <c r="O64" s="66"/>
      <c r="P64" s="424"/>
      <c r="Q64" s="436"/>
      <c r="R64" s="426"/>
      <c r="S64" s="437"/>
      <c r="T64" s="430"/>
      <c r="U64" s="58"/>
      <c r="V64" s="424"/>
      <c r="W64" s="388"/>
      <c r="X64" s="388"/>
      <c r="Y64" s="383"/>
      <c r="Z64" s="58"/>
      <c r="AA64" s="424"/>
      <c r="AB64" s="424"/>
      <c r="AC64" s="430"/>
      <c r="AD64" s="387"/>
      <c r="AE64" s="388"/>
      <c r="AF64" s="388"/>
      <c r="AG64" s="430"/>
    </row>
    <row r="65" spans="1:33" ht="15" customHeight="1" outlineLevel="1" x14ac:dyDescent="0.25">
      <c r="D65" s="40" t="s">
        <v>29</v>
      </c>
      <c r="E65" s="376">
        <v>31</v>
      </c>
      <c r="F65" s="57"/>
      <c r="G65" s="377"/>
      <c r="H65" s="377"/>
      <c r="I65" s="428"/>
      <c r="J65" s="422"/>
      <c r="K65" s="423"/>
      <c r="L65" s="422"/>
      <c r="M65" s="422"/>
      <c r="N65" s="422"/>
      <c r="O65" s="66"/>
      <c r="P65" s="424"/>
      <c r="Q65" s="436"/>
      <c r="R65" s="426"/>
      <c r="S65" s="437"/>
      <c r="T65" s="430"/>
      <c r="U65" s="41"/>
      <c r="V65" s="424"/>
      <c r="W65" s="388"/>
      <c r="X65" s="388"/>
      <c r="Y65" s="383"/>
      <c r="Z65" s="58"/>
      <c r="AA65" s="424"/>
      <c r="AB65" s="424"/>
      <c r="AC65" s="430"/>
      <c r="AD65" s="387"/>
      <c r="AE65" s="388"/>
      <c r="AF65" s="388"/>
      <c r="AG65" s="430"/>
    </row>
    <row r="66" spans="1:33" ht="15" customHeight="1" outlineLevel="1" x14ac:dyDescent="0.25">
      <c r="B66" s="43"/>
      <c r="C66" s="43"/>
      <c r="D66" s="44"/>
      <c r="E66" s="60"/>
      <c r="F66" s="60"/>
      <c r="G66" s="45">
        <f>SUM(G54:G65)</f>
        <v>0</v>
      </c>
      <c r="H66" s="45">
        <f t="shared" ref="H66:N66" si="13">SUM(H54:H65)</f>
        <v>0</v>
      </c>
      <c r="I66" s="45">
        <f t="shared" si="13"/>
        <v>0</v>
      </c>
      <c r="J66" s="45">
        <f t="shared" si="13"/>
        <v>0</v>
      </c>
      <c r="K66" s="389">
        <f t="shared" si="13"/>
        <v>0</v>
      </c>
      <c r="L66" s="45">
        <f t="shared" si="13"/>
        <v>0</v>
      </c>
      <c r="M66" s="45">
        <f t="shared" si="13"/>
        <v>0</v>
      </c>
      <c r="N66" s="45">
        <f t="shared" si="13"/>
        <v>0</v>
      </c>
      <c r="O66" s="45"/>
      <c r="P66" s="390">
        <f>SUM(P54:P65)</f>
        <v>1580</v>
      </c>
      <c r="Q66" s="391">
        <f>SUM(Q54:Q65)</f>
        <v>6492.16</v>
      </c>
      <c r="R66" s="390">
        <f>SUM(R54:R65)</f>
        <v>21329</v>
      </c>
      <c r="S66" s="438"/>
      <c r="T66" s="394">
        <f>SUM(T54:T65)</f>
        <v>78577.13</v>
      </c>
      <c r="U66" s="45"/>
      <c r="V66" s="45">
        <f t="shared" ref="V66" si="14">SUM(V54:V65)</f>
        <v>253</v>
      </c>
      <c r="W66" s="45"/>
      <c r="X66" s="45"/>
      <c r="Y66" s="389">
        <f t="shared" ref="Y66" si="15">SUM(Y54:Y65)</f>
        <v>7554.58</v>
      </c>
      <c r="Z66" s="46"/>
      <c r="AA66" s="45"/>
      <c r="AB66" s="45">
        <f>SUM(AB54:AB65)</f>
        <v>13379.181</v>
      </c>
      <c r="AC66" s="391">
        <f t="shared" ref="AC66" si="16">SUM(AC54:AC65)</f>
        <v>104753.23</v>
      </c>
      <c r="AD66" s="45"/>
      <c r="AE66" s="45">
        <f>SUM(AE54:AE65)</f>
        <v>0</v>
      </c>
      <c r="AF66" s="45">
        <f>SUM(AF54:AF65)</f>
        <v>0</v>
      </c>
      <c r="AG66" s="391">
        <f t="shared" ref="AG66" si="17">SUM(AG54:AG65)</f>
        <v>0</v>
      </c>
    </row>
    <row r="67" spans="1:33" ht="15.75" customHeight="1" outlineLevel="1" x14ac:dyDescent="0.25">
      <c r="B67" s="396"/>
      <c r="C67" s="397"/>
      <c r="D67" s="398" t="s">
        <v>34</v>
      </c>
      <c r="G67" s="48">
        <v>0.15</v>
      </c>
      <c r="H67" s="49">
        <f>H66*(1+G67)</f>
        <v>0</v>
      </c>
      <c r="I67" s="49"/>
      <c r="J67" s="51"/>
      <c r="K67" s="399">
        <f>K66*(1+G67)</f>
        <v>0</v>
      </c>
      <c r="L67" s="50"/>
      <c r="M67" s="51"/>
      <c r="N67" s="49">
        <f>N66*(1+G67)</f>
        <v>0</v>
      </c>
      <c r="O67" s="42"/>
      <c r="P67" s="400">
        <v>0.21</v>
      </c>
      <c r="Q67" s="401">
        <f>Q66*(1+P67)</f>
        <v>7855.5135999999993</v>
      </c>
      <c r="R67" s="400">
        <v>0.21</v>
      </c>
      <c r="S67" s="400"/>
      <c r="T67" s="401">
        <f>T66*(1+R67)</f>
        <v>95078.327300000004</v>
      </c>
      <c r="U67" s="42"/>
      <c r="V67" s="48">
        <v>0.15</v>
      </c>
      <c r="W67" s="48"/>
      <c r="X67" s="48"/>
      <c r="Y67" s="399">
        <f>Y66*(1+V67)</f>
        <v>8687.7669999999998</v>
      </c>
      <c r="Z67" s="42"/>
      <c r="AA67" s="48">
        <v>0.21</v>
      </c>
      <c r="AB67" s="42"/>
      <c r="AC67" s="401">
        <f>AC66*(1+AA67)</f>
        <v>126751.4083</v>
      </c>
      <c r="AD67" s="48">
        <v>0.21</v>
      </c>
      <c r="AE67" s="48"/>
      <c r="AF67" s="42"/>
      <c r="AG67" s="401">
        <f>AG66*(1+AD67)</f>
        <v>0</v>
      </c>
    </row>
    <row r="68" spans="1:33" x14ac:dyDescent="0.25">
      <c r="T68" s="363"/>
    </row>
    <row r="69" spans="1:33" x14ac:dyDescent="0.25">
      <c r="B69" s="33" t="s">
        <v>35</v>
      </c>
      <c r="I69" s="32" t="s">
        <v>195</v>
      </c>
      <c r="K69" s="425"/>
      <c r="P69" s="439" t="s">
        <v>196</v>
      </c>
      <c r="Q69" s="362" t="s">
        <v>197</v>
      </c>
      <c r="R69" s="439" t="s">
        <v>196</v>
      </c>
      <c r="T69" s="362" t="s">
        <v>198</v>
      </c>
      <c r="U69" s="67"/>
      <c r="V69" s="35"/>
      <c r="W69" s="35"/>
      <c r="X69" s="35"/>
      <c r="Y69" s="35"/>
      <c r="Z69" s="67"/>
      <c r="AA69" s="35"/>
      <c r="AB69" s="35"/>
      <c r="AC69" s="440"/>
      <c r="AD69" s="35"/>
      <c r="AE69" s="35"/>
      <c r="AF69" s="35"/>
      <c r="AG69" s="440"/>
    </row>
    <row r="70" spans="1:33" x14ac:dyDescent="0.25">
      <c r="B70" s="68"/>
      <c r="P70" s="439" t="s">
        <v>199</v>
      </c>
      <c r="Q70" s="362" t="s">
        <v>200</v>
      </c>
      <c r="R70" s="439" t="s">
        <v>199</v>
      </c>
      <c r="T70" s="362" t="s">
        <v>201</v>
      </c>
      <c r="V70" s="32" t="s">
        <v>202</v>
      </c>
      <c r="Y70" s="32" t="s">
        <v>203</v>
      </c>
      <c r="AA70" s="32" t="s">
        <v>204</v>
      </c>
      <c r="AC70" s="441" t="s">
        <v>205</v>
      </c>
      <c r="AD70" s="32" t="s">
        <v>204</v>
      </c>
    </row>
    <row r="71" spans="1:33" x14ac:dyDescent="0.25">
      <c r="B71" s="68"/>
      <c r="V71" s="32" t="s">
        <v>206</v>
      </c>
      <c r="Y71" s="439" t="s">
        <v>207</v>
      </c>
      <c r="AC71" s="442" t="s">
        <v>208</v>
      </c>
    </row>
    <row r="72" spans="1:33" x14ac:dyDescent="0.25">
      <c r="B72" s="68"/>
    </row>
    <row r="73" spans="1:33" x14ac:dyDescent="0.25">
      <c r="A73" s="68"/>
      <c r="B73" s="68"/>
    </row>
    <row r="74" spans="1:33" x14ac:dyDescent="0.25">
      <c r="B74" s="68"/>
    </row>
    <row r="75" spans="1:33" x14ac:dyDescent="0.25">
      <c r="B75" s="69"/>
    </row>
    <row r="76" spans="1:33" x14ac:dyDescent="0.25">
      <c r="B76" s="69"/>
    </row>
    <row r="77" spans="1:33" x14ac:dyDescent="0.25">
      <c r="B77" s="69"/>
    </row>
    <row r="78" spans="1:33" x14ac:dyDescent="0.25">
      <c r="B78" s="69"/>
    </row>
    <row r="79" spans="1:33" x14ac:dyDescent="0.25">
      <c r="B79" s="69"/>
    </row>
  </sheetData>
  <mergeCells count="112">
    <mergeCell ref="B4:C5"/>
    <mergeCell ref="P6:P9"/>
    <mergeCell ref="Q6:Q9"/>
    <mergeCell ref="R6:R9"/>
    <mergeCell ref="S6:S9"/>
    <mergeCell ref="T6:T9"/>
    <mergeCell ref="AD2:AG2"/>
    <mergeCell ref="G3:H3"/>
    <mergeCell ref="I3:K3"/>
    <mergeCell ref="L3:N3"/>
    <mergeCell ref="P3:Q3"/>
    <mergeCell ref="R3:T3"/>
    <mergeCell ref="V3:Y3"/>
    <mergeCell ref="AA3:AC3"/>
    <mergeCell ref="AD3:AG3"/>
    <mergeCell ref="D2:D4"/>
    <mergeCell ref="G2:N2"/>
    <mergeCell ref="P2:Q2"/>
    <mergeCell ref="R2:T2"/>
    <mergeCell ref="V2:Y2"/>
    <mergeCell ref="AA2:AC2"/>
    <mergeCell ref="P10:P17"/>
    <mergeCell ref="Q10:Q17"/>
    <mergeCell ref="R10:R17"/>
    <mergeCell ref="S10:S17"/>
    <mergeCell ref="T10:T17"/>
    <mergeCell ref="V6:V7"/>
    <mergeCell ref="W6:W7"/>
    <mergeCell ref="X6:X7"/>
    <mergeCell ref="Y6:Y7"/>
    <mergeCell ref="V11:V13"/>
    <mergeCell ref="W11:W13"/>
    <mergeCell ref="X11:X13"/>
    <mergeCell ref="Y11:Y13"/>
    <mergeCell ref="V14:V17"/>
    <mergeCell ref="W14:W17"/>
    <mergeCell ref="X14:X17"/>
    <mergeCell ref="Y14:Y17"/>
    <mergeCell ref="AA15:AA17"/>
    <mergeCell ref="AB15:AB17"/>
    <mergeCell ref="AC7:AC17"/>
    <mergeCell ref="V8:V10"/>
    <mergeCell ref="W8:W10"/>
    <mergeCell ref="X8:X10"/>
    <mergeCell ref="Y8:Y10"/>
    <mergeCell ref="AA7:AA14"/>
    <mergeCell ref="AB7:AB14"/>
    <mergeCell ref="P22:P25"/>
    <mergeCell ref="Q22:Q25"/>
    <mergeCell ref="R22:R25"/>
    <mergeCell ref="S22:S25"/>
    <mergeCell ref="T22:T25"/>
    <mergeCell ref="V22:V23"/>
    <mergeCell ref="V24:V26"/>
    <mergeCell ref="P26:P33"/>
    <mergeCell ref="Q26:Q33"/>
    <mergeCell ref="R26:R33"/>
    <mergeCell ref="S26:S29"/>
    <mergeCell ref="T26:T33"/>
    <mergeCell ref="V27:V29"/>
    <mergeCell ref="V30:V33"/>
    <mergeCell ref="W22:W23"/>
    <mergeCell ref="X22:X23"/>
    <mergeCell ref="Y22:Y23"/>
    <mergeCell ref="AA23:AA33"/>
    <mergeCell ref="AB23:AB33"/>
    <mergeCell ref="AC23:AC33"/>
    <mergeCell ref="W24:W26"/>
    <mergeCell ref="X24:X26"/>
    <mergeCell ref="Y24:Y26"/>
    <mergeCell ref="W27:W29"/>
    <mergeCell ref="X27:X29"/>
    <mergeCell ref="Y27:Y29"/>
    <mergeCell ref="W30:W33"/>
    <mergeCell ref="X30:X33"/>
    <mergeCell ref="Y30:Y33"/>
    <mergeCell ref="AA39:AA49"/>
    <mergeCell ref="AB39:AB49"/>
    <mergeCell ref="AC39:AC49"/>
    <mergeCell ref="W40:W42"/>
    <mergeCell ref="X40:X42"/>
    <mergeCell ref="Y40:Y42"/>
    <mergeCell ref="W43:W46"/>
    <mergeCell ref="S32:S33"/>
    <mergeCell ref="P38:P41"/>
    <mergeCell ref="Q38:Q41"/>
    <mergeCell ref="R38:R41"/>
    <mergeCell ref="T38:T41"/>
    <mergeCell ref="V38:V39"/>
    <mergeCell ref="V40:V42"/>
    <mergeCell ref="Q42:Q49"/>
    <mergeCell ref="T42:T49"/>
    <mergeCell ref="V43:V46"/>
    <mergeCell ref="X43:X46"/>
    <mergeCell ref="Y43:Y46"/>
    <mergeCell ref="V47:V49"/>
    <mergeCell ref="W47:W49"/>
    <mergeCell ref="X47:X49"/>
    <mergeCell ref="Y47:Y49"/>
    <mergeCell ref="W38:W39"/>
    <mergeCell ref="X38:X39"/>
    <mergeCell ref="Y38:Y39"/>
    <mergeCell ref="V56:V58"/>
    <mergeCell ref="W56:W58"/>
    <mergeCell ref="X56:X58"/>
    <mergeCell ref="Y56:Y58"/>
    <mergeCell ref="P48:P49"/>
    <mergeCell ref="R48:R49"/>
    <mergeCell ref="S48:S49"/>
    <mergeCell ref="Q54:Q56"/>
    <mergeCell ref="T54:T56"/>
    <mergeCell ref="S56:S57"/>
  </mergeCells>
  <conditionalFormatting sqref="G6:G17 G22:G33 G38:G49 I6:I17 I22:I33 I38:I49 L38:L49 L22:L33 L6:L17">
    <cfRule type="cellIs" dxfId="69" priority="9" operator="greaterThan">
      <formula>0</formula>
    </cfRule>
  </conditionalFormatting>
  <conditionalFormatting sqref="P6 P22 P38 P43:P48">
    <cfRule type="cellIs" dxfId="68" priority="8" operator="greaterThan">
      <formula>0</formula>
    </cfRule>
  </conditionalFormatting>
  <conditionalFormatting sqref="G54:G65 I54:I65 L54:L65">
    <cfRule type="cellIs" dxfId="67" priority="7" operator="greaterThan">
      <formula>0</formula>
    </cfRule>
  </conditionalFormatting>
  <conditionalFormatting sqref="P54:P56 P58:P65">
    <cfRule type="cellIs" dxfId="66" priority="6" operator="greaterThan">
      <formula>0</formula>
    </cfRule>
  </conditionalFormatting>
  <conditionalFormatting sqref="AA6:AB7 AA22:AB23 AA38:AB39 AA54:AB65 AA40:AA49 AA15:AB15">
    <cfRule type="cellIs" dxfId="65" priority="5" operator="greaterThan">
      <formula>0</formula>
    </cfRule>
  </conditionalFormatting>
  <conditionalFormatting sqref="R54:R65">
    <cfRule type="cellIs" dxfId="64" priority="4" operator="greaterThan">
      <formula>0</formula>
    </cfRule>
  </conditionalFormatting>
  <conditionalFormatting sqref="P6 R6:R17 P22 R22:R33 P38 R38 P54:P65 R54:R65 P10:P17 P42:P49 R42:R49 P26:P33">
    <cfRule type="cellIs" dxfId="63" priority="3" operator="greaterThan">
      <formula>0</formula>
    </cfRule>
  </conditionalFormatting>
  <conditionalFormatting sqref="V6 V22 V38 V54:V56 V47 V40 V24 V8 V11 V14 V27 V30 V43 V59:V65">
    <cfRule type="cellIs" dxfId="62" priority="2" operator="greaterThan">
      <formula>0</formula>
    </cfRule>
  </conditionalFormatting>
  <conditionalFormatting sqref="AB38">
    <cfRule type="cellIs" dxfId="61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H96"/>
  <sheetViews>
    <sheetView zoomScale="85" zoomScaleNormal="85" workbookViewId="0">
      <pane xSplit="5" ySplit="5" topLeftCell="F27" activePane="bottomRight" state="frozen"/>
      <selection activeCell="AA23" sqref="AA23:AA33"/>
      <selection pane="topRight" activeCell="AA23" sqref="AA23:AA33"/>
      <selection pane="bottomLeft" activeCell="AA23" sqref="AA23:AA33"/>
      <selection pane="bottomRight" activeCell="AM41" sqref="AM41"/>
    </sheetView>
  </sheetViews>
  <sheetFormatPr defaultColWidth="10.140625" defaultRowHeight="15" outlineLevelRow="1" outlineLevelCol="3" x14ac:dyDescent="0.25"/>
  <cols>
    <col min="1" max="1" width="1" style="32" customWidth="1"/>
    <col min="2" max="2" width="12" style="32" customWidth="1"/>
    <col min="3" max="3" width="10.140625" style="32" customWidth="1"/>
    <col min="4" max="4" width="14" style="32" customWidth="1"/>
    <col min="5" max="5" width="5" style="360" customWidth="1"/>
    <col min="6" max="6" width="3.140625" style="34" customWidth="1"/>
    <col min="7" max="8" width="11.5703125" style="32" hidden="1" customWidth="1" outlineLevel="1"/>
    <col min="9" max="9" width="11.5703125" style="32" customWidth="1" collapsed="1"/>
    <col min="10" max="10" width="10" style="32" customWidth="1" outlineLevel="1"/>
    <col min="11" max="11" width="11.5703125" style="32" customWidth="1"/>
    <col min="12" max="14" width="10" style="32" hidden="1" customWidth="1" outlineLevel="1"/>
    <col min="15" max="15" width="3.7109375" style="34" customWidth="1" collapsed="1"/>
    <col min="16" max="16" width="12.7109375" style="361" customWidth="1"/>
    <col min="17" max="17" width="12" style="362" customWidth="1"/>
    <col min="18" max="18" width="12.7109375" style="361" customWidth="1" outlineLevel="1"/>
    <col min="19" max="19" width="18.140625" style="362" customWidth="1" outlineLevel="1"/>
    <col min="20" max="20" width="3.7109375" style="34" customWidth="1"/>
    <col min="21" max="21" width="14" style="32" customWidth="1"/>
    <col min="22" max="23" width="7.7109375" style="32" customWidth="1" outlineLevel="1"/>
    <col min="24" max="24" width="14" style="32" customWidth="1"/>
    <col min="25" max="25" width="3.7109375" style="34" customWidth="1"/>
    <col min="26" max="27" width="10.140625" style="32" hidden="1" customWidth="1" outlineLevel="1"/>
    <col min="28" max="28" width="11.7109375" style="362" hidden="1" customWidth="1" outlineLevel="1"/>
    <col min="29" max="29" width="10.140625" style="32" hidden="1" customWidth="1" outlineLevel="2"/>
    <col min="30" max="30" width="10.140625" style="32" hidden="1" customWidth="1" outlineLevel="3"/>
    <col min="31" max="31" width="10.140625" style="32" hidden="1" customWidth="1" outlineLevel="2" collapsed="1"/>
    <col min="32" max="32" width="10.140625" style="362" hidden="1" customWidth="1" outlineLevel="2"/>
    <col min="33" max="33" width="10.140625" style="32" hidden="1" customWidth="1" outlineLevel="1" collapsed="1"/>
    <col min="34" max="34" width="10.140625" style="32" collapsed="1"/>
    <col min="35" max="269" width="10.140625" style="32"/>
    <col min="270" max="282" width="14" style="32" customWidth="1"/>
    <col min="283" max="525" width="10.140625" style="32"/>
    <col min="526" max="538" width="14" style="32" customWidth="1"/>
    <col min="539" max="781" width="10.140625" style="32"/>
    <col min="782" max="794" width="14" style="32" customWidth="1"/>
    <col min="795" max="1037" width="10.140625" style="32"/>
    <col min="1038" max="1050" width="14" style="32" customWidth="1"/>
    <col min="1051" max="1293" width="10.140625" style="32"/>
    <col min="1294" max="1306" width="14" style="32" customWidth="1"/>
    <col min="1307" max="1549" width="10.140625" style="32"/>
    <col min="1550" max="1562" width="14" style="32" customWidth="1"/>
    <col min="1563" max="1805" width="10.140625" style="32"/>
    <col min="1806" max="1818" width="14" style="32" customWidth="1"/>
    <col min="1819" max="2061" width="10.140625" style="32"/>
    <col min="2062" max="2074" width="14" style="32" customWidth="1"/>
    <col min="2075" max="2317" width="10.140625" style="32"/>
    <col min="2318" max="2330" width="14" style="32" customWidth="1"/>
    <col min="2331" max="2573" width="10.140625" style="32"/>
    <col min="2574" max="2586" width="14" style="32" customWidth="1"/>
    <col min="2587" max="2829" width="10.140625" style="32"/>
    <col min="2830" max="2842" width="14" style="32" customWidth="1"/>
    <col min="2843" max="3085" width="10.140625" style="32"/>
    <col min="3086" max="3098" width="14" style="32" customWidth="1"/>
    <col min="3099" max="3341" width="10.140625" style="32"/>
    <col min="3342" max="3354" width="14" style="32" customWidth="1"/>
    <col min="3355" max="3597" width="10.140625" style="32"/>
    <col min="3598" max="3610" width="14" style="32" customWidth="1"/>
    <col min="3611" max="3853" width="10.140625" style="32"/>
    <col min="3854" max="3866" width="14" style="32" customWidth="1"/>
    <col min="3867" max="4109" width="10.140625" style="32"/>
    <col min="4110" max="4122" width="14" style="32" customWidth="1"/>
    <col min="4123" max="4365" width="10.140625" style="32"/>
    <col min="4366" max="4378" width="14" style="32" customWidth="1"/>
    <col min="4379" max="4621" width="10.140625" style="32"/>
    <col min="4622" max="4634" width="14" style="32" customWidth="1"/>
    <col min="4635" max="4877" width="10.140625" style="32"/>
    <col min="4878" max="4890" width="14" style="32" customWidth="1"/>
    <col min="4891" max="5133" width="10.140625" style="32"/>
    <col min="5134" max="5146" width="14" style="32" customWidth="1"/>
    <col min="5147" max="5389" width="10.140625" style="32"/>
    <col min="5390" max="5402" width="14" style="32" customWidth="1"/>
    <col min="5403" max="5645" width="10.140625" style="32"/>
    <col min="5646" max="5658" width="14" style="32" customWidth="1"/>
    <col min="5659" max="5901" width="10.140625" style="32"/>
    <col min="5902" max="5914" width="14" style="32" customWidth="1"/>
    <col min="5915" max="6157" width="10.140625" style="32"/>
    <col min="6158" max="6170" width="14" style="32" customWidth="1"/>
    <col min="6171" max="6413" width="10.140625" style="32"/>
    <col min="6414" max="6426" width="14" style="32" customWidth="1"/>
    <col min="6427" max="6669" width="10.140625" style="32"/>
    <col min="6670" max="6682" width="14" style="32" customWidth="1"/>
    <col min="6683" max="6925" width="10.140625" style="32"/>
    <col min="6926" max="6938" width="14" style="32" customWidth="1"/>
    <col min="6939" max="7181" width="10.140625" style="32"/>
    <col min="7182" max="7194" width="14" style="32" customWidth="1"/>
    <col min="7195" max="7437" width="10.140625" style="32"/>
    <col min="7438" max="7450" width="14" style="32" customWidth="1"/>
    <col min="7451" max="7693" width="10.140625" style="32"/>
    <col min="7694" max="7706" width="14" style="32" customWidth="1"/>
    <col min="7707" max="7949" width="10.140625" style="32"/>
    <col min="7950" max="7962" width="14" style="32" customWidth="1"/>
    <col min="7963" max="8205" width="10.140625" style="32"/>
    <col min="8206" max="8218" width="14" style="32" customWidth="1"/>
    <col min="8219" max="8461" width="10.140625" style="32"/>
    <col min="8462" max="8474" width="14" style="32" customWidth="1"/>
    <col min="8475" max="8717" width="10.140625" style="32"/>
    <col min="8718" max="8730" width="14" style="32" customWidth="1"/>
    <col min="8731" max="8973" width="10.140625" style="32"/>
    <col min="8974" max="8986" width="14" style="32" customWidth="1"/>
    <col min="8987" max="9229" width="10.140625" style="32"/>
    <col min="9230" max="9242" width="14" style="32" customWidth="1"/>
    <col min="9243" max="9485" width="10.140625" style="32"/>
    <col min="9486" max="9498" width="14" style="32" customWidth="1"/>
    <col min="9499" max="9741" width="10.140625" style="32"/>
    <col min="9742" max="9754" width="14" style="32" customWidth="1"/>
    <col min="9755" max="9997" width="10.140625" style="32"/>
    <col min="9998" max="10010" width="14" style="32" customWidth="1"/>
    <col min="10011" max="10253" width="10.140625" style="32"/>
    <col min="10254" max="10266" width="14" style="32" customWidth="1"/>
    <col min="10267" max="10509" width="10.140625" style="32"/>
    <col min="10510" max="10522" width="14" style="32" customWidth="1"/>
    <col min="10523" max="10765" width="10.140625" style="32"/>
    <col min="10766" max="10778" width="14" style="32" customWidth="1"/>
    <col min="10779" max="11021" width="10.140625" style="32"/>
    <col min="11022" max="11034" width="14" style="32" customWidth="1"/>
    <col min="11035" max="11277" width="10.140625" style="32"/>
    <col min="11278" max="11290" width="14" style="32" customWidth="1"/>
    <col min="11291" max="11533" width="10.140625" style="32"/>
    <col min="11534" max="11546" width="14" style="32" customWidth="1"/>
    <col min="11547" max="11789" width="10.140625" style="32"/>
    <col min="11790" max="11802" width="14" style="32" customWidth="1"/>
    <col min="11803" max="12045" width="10.140625" style="32"/>
    <col min="12046" max="12058" width="14" style="32" customWidth="1"/>
    <col min="12059" max="12301" width="10.140625" style="32"/>
    <col min="12302" max="12314" width="14" style="32" customWidth="1"/>
    <col min="12315" max="12557" width="10.140625" style="32"/>
    <col min="12558" max="12570" width="14" style="32" customWidth="1"/>
    <col min="12571" max="12813" width="10.140625" style="32"/>
    <col min="12814" max="12826" width="14" style="32" customWidth="1"/>
    <col min="12827" max="13069" width="10.140625" style="32"/>
    <col min="13070" max="13082" width="14" style="32" customWidth="1"/>
    <col min="13083" max="13325" width="10.140625" style="32"/>
    <col min="13326" max="13338" width="14" style="32" customWidth="1"/>
    <col min="13339" max="13581" width="10.140625" style="32"/>
    <col min="13582" max="13594" width="14" style="32" customWidth="1"/>
    <col min="13595" max="13837" width="10.140625" style="32"/>
    <col min="13838" max="13850" width="14" style="32" customWidth="1"/>
    <col min="13851" max="14093" width="10.140625" style="32"/>
    <col min="14094" max="14106" width="14" style="32" customWidth="1"/>
    <col min="14107" max="14349" width="10.140625" style="32"/>
    <col min="14350" max="14362" width="14" style="32" customWidth="1"/>
    <col min="14363" max="14605" width="10.140625" style="32"/>
    <col min="14606" max="14618" width="14" style="32" customWidth="1"/>
    <col min="14619" max="14861" width="10.140625" style="32"/>
    <col min="14862" max="14874" width="14" style="32" customWidth="1"/>
    <col min="14875" max="15117" width="10.140625" style="32"/>
    <col min="15118" max="15130" width="14" style="32" customWidth="1"/>
    <col min="15131" max="15373" width="10.140625" style="32"/>
    <col min="15374" max="15386" width="14" style="32" customWidth="1"/>
    <col min="15387" max="15629" width="10.140625" style="32"/>
    <col min="15630" max="15642" width="14" style="32" customWidth="1"/>
    <col min="15643" max="15885" width="10.140625" style="32"/>
    <col min="15886" max="15898" width="14" style="32" customWidth="1"/>
    <col min="15899" max="16141" width="10.140625" style="32"/>
    <col min="16142" max="16154" width="14" style="32" customWidth="1"/>
    <col min="16155" max="16384" width="10.140625" style="32"/>
  </cols>
  <sheetData>
    <row r="1" spans="2:32" ht="4.5" customHeight="1" x14ac:dyDescent="0.25">
      <c r="S1" s="363"/>
    </row>
    <row r="2" spans="2:32" ht="15" customHeight="1" x14ac:dyDescent="0.25">
      <c r="B2" s="364" t="s">
        <v>33</v>
      </c>
      <c r="C2" s="365"/>
      <c r="D2" s="543" t="s">
        <v>31</v>
      </c>
      <c r="E2" s="53"/>
      <c r="F2" s="32"/>
      <c r="G2" s="545" t="s">
        <v>9</v>
      </c>
      <c r="H2" s="545"/>
      <c r="I2" s="545"/>
      <c r="J2" s="545"/>
      <c r="K2" s="545"/>
      <c r="L2" s="545"/>
      <c r="M2" s="545"/>
      <c r="N2" s="545"/>
      <c r="O2" s="55"/>
      <c r="P2" s="546" t="s">
        <v>5</v>
      </c>
      <c r="Q2" s="546"/>
      <c r="R2" s="547" t="s">
        <v>5</v>
      </c>
      <c r="S2" s="548"/>
      <c r="T2" s="36"/>
      <c r="U2" s="549" t="s">
        <v>11</v>
      </c>
      <c r="V2" s="549"/>
      <c r="W2" s="549"/>
      <c r="X2" s="549"/>
      <c r="Y2" s="32"/>
      <c r="Z2" s="550" t="s">
        <v>10</v>
      </c>
      <c r="AA2" s="550"/>
      <c r="AB2" s="550"/>
      <c r="AC2" s="535" t="s">
        <v>10</v>
      </c>
      <c r="AD2" s="536"/>
      <c r="AE2" s="536"/>
      <c r="AF2" s="536"/>
    </row>
    <row r="3" spans="2:32" ht="15" customHeight="1" x14ac:dyDescent="0.25">
      <c r="B3" s="37" t="str">
        <f ca="1">MID(CELL("filename",A8),FIND("]",CELL("filename",A8))+1,LEN(CELL("filename",A8))-FIND("]",CELL("filename",A8)))</f>
        <v>02 Radnice č.p. 8</v>
      </c>
      <c r="C3" s="33"/>
      <c r="D3" s="543"/>
      <c r="E3" s="53"/>
      <c r="F3" s="32"/>
      <c r="G3" s="537" t="s">
        <v>144</v>
      </c>
      <c r="H3" s="537"/>
      <c r="I3" s="537" t="s">
        <v>6</v>
      </c>
      <c r="J3" s="537"/>
      <c r="K3" s="537"/>
      <c r="L3" s="537" t="s">
        <v>143</v>
      </c>
      <c r="M3" s="537"/>
      <c r="N3" s="537"/>
      <c r="O3" s="38"/>
      <c r="P3" s="538" t="s">
        <v>181</v>
      </c>
      <c r="Q3" s="538"/>
      <c r="R3" s="539" t="s">
        <v>209</v>
      </c>
      <c r="S3" s="538"/>
      <c r="T3" s="38"/>
      <c r="U3" s="540" t="s">
        <v>210</v>
      </c>
      <c r="V3" s="540"/>
      <c r="W3" s="540"/>
      <c r="X3" s="540"/>
      <c r="Y3" s="32"/>
      <c r="Z3" s="541" t="s">
        <v>184</v>
      </c>
      <c r="AA3" s="541"/>
      <c r="AB3" s="541"/>
      <c r="AC3" s="542" t="s">
        <v>185</v>
      </c>
      <c r="AD3" s="541"/>
      <c r="AE3" s="541"/>
      <c r="AF3" s="541"/>
    </row>
    <row r="4" spans="2:32" ht="15" customHeight="1" x14ac:dyDescent="0.25">
      <c r="B4" s="534" t="s">
        <v>211</v>
      </c>
      <c r="C4" s="534"/>
      <c r="D4" s="544"/>
      <c r="E4" s="53"/>
      <c r="F4" s="32"/>
      <c r="G4" s="29" t="s">
        <v>0</v>
      </c>
      <c r="H4" s="29" t="s">
        <v>7</v>
      </c>
      <c r="I4" s="29" t="s">
        <v>187</v>
      </c>
      <c r="J4" s="29" t="s">
        <v>13</v>
      </c>
      <c r="K4" s="29" t="s">
        <v>7</v>
      </c>
      <c r="L4" s="29" t="s">
        <v>0</v>
      </c>
      <c r="M4" s="29" t="s">
        <v>13</v>
      </c>
      <c r="N4" s="29" t="s">
        <v>7</v>
      </c>
      <c r="O4" s="56"/>
      <c r="P4" s="31" t="s">
        <v>188</v>
      </c>
      <c r="Q4" s="366" t="s">
        <v>7</v>
      </c>
      <c r="R4" s="367" t="s">
        <v>188</v>
      </c>
      <c r="S4" s="366" t="s">
        <v>7</v>
      </c>
      <c r="T4" s="39"/>
      <c r="U4" s="301" t="s">
        <v>13</v>
      </c>
      <c r="V4" s="359" t="s">
        <v>190</v>
      </c>
      <c r="W4" s="359" t="s">
        <v>191</v>
      </c>
      <c r="X4" s="30" t="s">
        <v>212</v>
      </c>
      <c r="Y4" s="32"/>
      <c r="Z4" s="368" t="s">
        <v>2</v>
      </c>
      <c r="AA4" s="368" t="s">
        <v>13</v>
      </c>
      <c r="AB4" s="369" t="s">
        <v>7</v>
      </c>
      <c r="AC4" s="370" t="s">
        <v>2</v>
      </c>
      <c r="AD4" s="371" t="s">
        <v>193</v>
      </c>
      <c r="AE4" s="368" t="s">
        <v>13</v>
      </c>
      <c r="AF4" s="369" t="s">
        <v>7</v>
      </c>
    </row>
    <row r="5" spans="2:32" ht="8.25" customHeight="1" x14ac:dyDescent="0.2">
      <c r="B5" s="534"/>
      <c r="C5" s="534"/>
      <c r="D5" s="52"/>
      <c r="E5" s="372"/>
      <c r="F5" s="64"/>
      <c r="G5" s="33"/>
      <c r="H5" s="33"/>
      <c r="R5" s="373"/>
      <c r="S5" s="363"/>
      <c r="AC5" s="375"/>
      <c r="AD5" s="34"/>
      <c r="AE5" s="34"/>
      <c r="AF5" s="363"/>
    </row>
    <row r="6" spans="2:32" ht="15.75" x14ac:dyDescent="0.25">
      <c r="B6" s="47">
        <v>2015</v>
      </c>
      <c r="C6" s="33"/>
      <c r="D6" s="40" t="s">
        <v>18</v>
      </c>
      <c r="E6" s="376">
        <v>31</v>
      </c>
      <c r="F6" s="57"/>
      <c r="G6" s="377"/>
      <c r="H6" s="377"/>
      <c r="I6" s="378">
        <v>96.41</v>
      </c>
      <c r="J6" s="379">
        <v>3212.0540000000001</v>
      </c>
      <c r="K6" s="380">
        <f t="shared" ref="K6:K16" si="0">I6*517</f>
        <v>49843.97</v>
      </c>
      <c r="L6" s="381"/>
      <c r="M6" s="381"/>
      <c r="N6" s="381"/>
      <c r="O6" s="41"/>
      <c r="P6" s="504">
        <v>23213</v>
      </c>
      <c r="Q6" s="520">
        <v>84803.02</v>
      </c>
      <c r="R6" s="510">
        <v>11970</v>
      </c>
      <c r="S6" s="515">
        <v>44542.080000000002</v>
      </c>
      <c r="T6" s="58"/>
      <c r="U6" s="424">
        <v>53</v>
      </c>
      <c r="V6" s="388">
        <f t="shared" ref="V6:V16" si="1">U6*28.6</f>
        <v>1515.8000000000002</v>
      </c>
      <c r="W6" s="388">
        <f t="shared" ref="W6:W16" si="2">U6*34.7</f>
        <v>1839.1000000000001</v>
      </c>
      <c r="X6" s="423">
        <f t="shared" ref="X6:X16" si="3">W6+V6</f>
        <v>3354.9000000000005</v>
      </c>
      <c r="Y6" s="59"/>
      <c r="Z6" s="386"/>
      <c r="AA6" s="386"/>
      <c r="AB6" s="383"/>
      <c r="AC6" s="384"/>
      <c r="AD6" s="385"/>
      <c r="AE6" s="386"/>
      <c r="AF6" s="383"/>
    </row>
    <row r="7" spans="2:32" x14ac:dyDescent="0.25">
      <c r="B7" s="33"/>
      <c r="C7" s="33"/>
      <c r="D7" s="40" t="s">
        <v>19</v>
      </c>
      <c r="E7" s="376">
        <v>28</v>
      </c>
      <c r="F7" s="57"/>
      <c r="G7" s="377"/>
      <c r="H7" s="377"/>
      <c r="I7" s="378">
        <v>92.36</v>
      </c>
      <c r="J7" s="379">
        <v>3077.06</v>
      </c>
      <c r="K7" s="380">
        <f t="shared" si="0"/>
        <v>47750.12</v>
      </c>
      <c r="L7" s="381"/>
      <c r="M7" s="381"/>
      <c r="N7" s="381"/>
      <c r="O7" s="41"/>
      <c r="P7" s="508"/>
      <c r="Q7" s="521"/>
      <c r="R7" s="523"/>
      <c r="S7" s="516"/>
      <c r="T7" s="58"/>
      <c r="U7" s="432">
        <f>70+11</f>
        <v>81</v>
      </c>
      <c r="V7" s="388">
        <f t="shared" si="1"/>
        <v>2316.6</v>
      </c>
      <c r="W7" s="388">
        <f t="shared" si="2"/>
        <v>2810.7000000000003</v>
      </c>
      <c r="X7" s="423">
        <f t="shared" si="3"/>
        <v>5127.3</v>
      </c>
      <c r="Y7" s="58"/>
      <c r="Z7" s="386"/>
      <c r="AA7" s="386"/>
      <c r="AB7" s="383"/>
      <c r="AC7" s="384"/>
      <c r="AD7" s="385"/>
      <c r="AE7" s="386"/>
      <c r="AF7" s="383"/>
    </row>
    <row r="8" spans="2:32" x14ac:dyDescent="0.25">
      <c r="B8" s="33"/>
      <c r="C8" s="33"/>
      <c r="D8" s="40" t="s">
        <v>20</v>
      </c>
      <c r="E8" s="376">
        <v>31</v>
      </c>
      <c r="F8" s="57"/>
      <c r="G8" s="377"/>
      <c r="H8" s="377"/>
      <c r="I8" s="378">
        <v>73.680000000000007</v>
      </c>
      <c r="J8" s="379">
        <v>2454.6999999999998</v>
      </c>
      <c r="K8" s="380">
        <f t="shared" si="0"/>
        <v>38092.560000000005</v>
      </c>
      <c r="L8" s="381"/>
      <c r="M8" s="381"/>
      <c r="N8" s="381"/>
      <c r="O8" s="41"/>
      <c r="P8" s="505"/>
      <c r="Q8" s="522"/>
      <c r="R8" s="511"/>
      <c r="S8" s="517"/>
      <c r="T8" s="58"/>
      <c r="U8" s="424">
        <v>51</v>
      </c>
      <c r="V8" s="388">
        <f t="shared" si="1"/>
        <v>1458.6000000000001</v>
      </c>
      <c r="W8" s="388">
        <f t="shared" si="2"/>
        <v>1769.7</v>
      </c>
      <c r="X8" s="423">
        <f t="shared" si="3"/>
        <v>3228.3</v>
      </c>
      <c r="Y8" s="58"/>
      <c r="Z8" s="386"/>
      <c r="AA8" s="386"/>
      <c r="AB8" s="383"/>
      <c r="AC8" s="384"/>
      <c r="AD8" s="385"/>
      <c r="AE8" s="386"/>
      <c r="AF8" s="383"/>
    </row>
    <row r="9" spans="2:32" x14ac:dyDescent="0.25">
      <c r="B9" s="33"/>
      <c r="C9" s="33"/>
      <c r="D9" s="40" t="s">
        <v>21</v>
      </c>
      <c r="E9" s="376">
        <v>30</v>
      </c>
      <c r="F9" s="57"/>
      <c r="G9" s="377"/>
      <c r="H9" s="377"/>
      <c r="I9" s="378">
        <v>58.75</v>
      </c>
      <c r="J9" s="379">
        <v>1957.4069999999999</v>
      </c>
      <c r="K9" s="380">
        <f t="shared" si="0"/>
        <v>30373.75</v>
      </c>
      <c r="L9" s="381"/>
      <c r="M9" s="381"/>
      <c r="N9" s="381"/>
      <c r="O9" s="41"/>
      <c r="P9" s="504">
        <v>40397</v>
      </c>
      <c r="Q9" s="520">
        <v>148191.35</v>
      </c>
      <c r="R9" s="510">
        <v>19800</v>
      </c>
      <c r="S9" s="515">
        <v>74546.98</v>
      </c>
      <c r="T9" s="58"/>
      <c r="U9" s="424">
        <v>46</v>
      </c>
      <c r="V9" s="388">
        <f t="shared" si="1"/>
        <v>1315.6000000000001</v>
      </c>
      <c r="W9" s="388">
        <f t="shared" si="2"/>
        <v>1596.2</v>
      </c>
      <c r="X9" s="423">
        <f t="shared" si="3"/>
        <v>2911.8</v>
      </c>
      <c r="Y9" s="58"/>
      <c r="Z9" s="443"/>
      <c r="AA9" s="443"/>
      <c r="AB9" s="419"/>
      <c r="AC9" s="387"/>
      <c r="AD9" s="388"/>
      <c r="AE9" s="388"/>
      <c r="AF9" s="383"/>
    </row>
    <row r="10" spans="2:32" x14ac:dyDescent="0.25">
      <c r="B10" s="33"/>
      <c r="C10" s="33"/>
      <c r="D10" s="40" t="s">
        <v>22</v>
      </c>
      <c r="E10" s="376">
        <v>31</v>
      </c>
      <c r="F10" s="57"/>
      <c r="G10" s="377"/>
      <c r="H10" s="377"/>
      <c r="I10" s="378">
        <v>20.83</v>
      </c>
      <c r="J10" s="379">
        <v>699</v>
      </c>
      <c r="K10" s="380">
        <f t="shared" si="0"/>
        <v>10769.109999999999</v>
      </c>
      <c r="L10" s="381"/>
      <c r="M10" s="381"/>
      <c r="N10" s="381"/>
      <c r="O10" s="41"/>
      <c r="P10" s="508"/>
      <c r="Q10" s="521"/>
      <c r="R10" s="523"/>
      <c r="S10" s="516"/>
      <c r="T10" s="58"/>
      <c r="U10" s="424">
        <v>46</v>
      </c>
      <c r="V10" s="388">
        <f t="shared" si="1"/>
        <v>1315.6000000000001</v>
      </c>
      <c r="W10" s="388">
        <f t="shared" si="2"/>
        <v>1596.2</v>
      </c>
      <c r="X10" s="423">
        <f t="shared" si="3"/>
        <v>2911.8</v>
      </c>
      <c r="Y10" s="58"/>
      <c r="Z10" s="443"/>
      <c r="AA10" s="443"/>
      <c r="AB10" s="419"/>
      <c r="AC10" s="387"/>
      <c r="AD10" s="388"/>
      <c r="AE10" s="388"/>
      <c r="AF10" s="383"/>
    </row>
    <row r="11" spans="2:32" x14ac:dyDescent="0.25">
      <c r="B11" s="33"/>
      <c r="C11" s="33"/>
      <c r="D11" s="40" t="s">
        <v>23</v>
      </c>
      <c r="E11" s="376">
        <v>30</v>
      </c>
      <c r="F11" s="57"/>
      <c r="G11" s="377"/>
      <c r="H11" s="377"/>
      <c r="I11" s="378">
        <v>0</v>
      </c>
      <c r="J11" s="379">
        <v>0</v>
      </c>
      <c r="K11" s="380">
        <f t="shared" si="0"/>
        <v>0</v>
      </c>
      <c r="L11" s="381"/>
      <c r="M11" s="381"/>
      <c r="N11" s="381"/>
      <c r="O11" s="41"/>
      <c r="P11" s="508"/>
      <c r="Q11" s="521"/>
      <c r="R11" s="523"/>
      <c r="S11" s="516"/>
      <c r="T11" s="58"/>
      <c r="U11" s="424">
        <v>62</v>
      </c>
      <c r="V11" s="388">
        <f t="shared" si="1"/>
        <v>1773.2</v>
      </c>
      <c r="W11" s="388">
        <f t="shared" si="2"/>
        <v>2151.4</v>
      </c>
      <c r="X11" s="423">
        <f t="shared" si="3"/>
        <v>3924.6000000000004</v>
      </c>
      <c r="Y11" s="58"/>
      <c r="Z11" s="443"/>
      <c r="AA11" s="443"/>
      <c r="AB11" s="419"/>
      <c r="AC11" s="387"/>
      <c r="AD11" s="388"/>
      <c r="AE11" s="388"/>
      <c r="AF11" s="383"/>
    </row>
    <row r="12" spans="2:32" x14ac:dyDescent="0.25">
      <c r="B12" s="33"/>
      <c r="C12" s="33"/>
      <c r="D12" s="40" t="s">
        <v>24</v>
      </c>
      <c r="E12" s="376">
        <v>31</v>
      </c>
      <c r="F12" s="57"/>
      <c r="G12" s="377"/>
      <c r="H12" s="377"/>
      <c r="I12" s="378">
        <v>0</v>
      </c>
      <c r="J12" s="379">
        <v>0</v>
      </c>
      <c r="K12" s="380">
        <f t="shared" si="0"/>
        <v>0</v>
      </c>
      <c r="L12" s="381"/>
      <c r="M12" s="381"/>
      <c r="N12" s="381"/>
      <c r="O12" s="41"/>
      <c r="P12" s="508"/>
      <c r="Q12" s="521"/>
      <c r="R12" s="523"/>
      <c r="S12" s="516"/>
      <c r="T12" s="58"/>
      <c r="U12" s="424">
        <v>47</v>
      </c>
      <c r="V12" s="388">
        <f t="shared" si="1"/>
        <v>1344.2</v>
      </c>
      <c r="W12" s="388">
        <f t="shared" si="2"/>
        <v>1630.9</v>
      </c>
      <c r="X12" s="423">
        <f t="shared" si="3"/>
        <v>2975.1000000000004</v>
      </c>
      <c r="Y12" s="58"/>
      <c r="Z12" s="443"/>
      <c r="AA12" s="443"/>
      <c r="AB12" s="419"/>
      <c r="AC12" s="387"/>
      <c r="AD12" s="388"/>
      <c r="AE12" s="388"/>
      <c r="AF12" s="383"/>
    </row>
    <row r="13" spans="2:32" x14ac:dyDescent="0.25">
      <c r="B13" s="33"/>
      <c r="C13" s="33"/>
      <c r="D13" s="40" t="s">
        <v>25</v>
      </c>
      <c r="E13" s="376">
        <v>31</v>
      </c>
      <c r="F13" s="57"/>
      <c r="G13" s="377"/>
      <c r="H13" s="377"/>
      <c r="I13" s="378">
        <v>0</v>
      </c>
      <c r="J13" s="379">
        <v>0</v>
      </c>
      <c r="K13" s="380">
        <f t="shared" si="0"/>
        <v>0</v>
      </c>
      <c r="L13" s="381"/>
      <c r="M13" s="381"/>
      <c r="N13" s="381"/>
      <c r="O13" s="41"/>
      <c r="P13" s="508"/>
      <c r="Q13" s="521"/>
      <c r="R13" s="523"/>
      <c r="S13" s="516"/>
      <c r="T13" s="58"/>
      <c r="U13" s="424">
        <v>54</v>
      </c>
      <c r="V13" s="388">
        <f t="shared" si="1"/>
        <v>1544.4</v>
      </c>
      <c r="W13" s="388">
        <f t="shared" si="2"/>
        <v>1873.8000000000002</v>
      </c>
      <c r="X13" s="423">
        <f t="shared" si="3"/>
        <v>3418.2000000000003</v>
      </c>
      <c r="Y13" s="58"/>
      <c r="Z13" s="443"/>
      <c r="AA13" s="443"/>
      <c r="AB13" s="419"/>
      <c r="AC13" s="387"/>
      <c r="AD13" s="388"/>
      <c r="AE13" s="388"/>
      <c r="AF13" s="383"/>
    </row>
    <row r="14" spans="2:32" x14ac:dyDescent="0.25">
      <c r="B14" s="33"/>
      <c r="C14" s="33"/>
      <c r="D14" s="40" t="s">
        <v>26</v>
      </c>
      <c r="E14" s="376">
        <v>30</v>
      </c>
      <c r="F14" s="57"/>
      <c r="G14" s="377"/>
      <c r="H14" s="377"/>
      <c r="I14" s="378">
        <v>37.9</v>
      </c>
      <c r="J14" s="379">
        <v>1262.587</v>
      </c>
      <c r="K14" s="380">
        <f t="shared" si="0"/>
        <v>19594.3</v>
      </c>
      <c r="L14" s="381"/>
      <c r="M14" s="381"/>
      <c r="N14" s="381"/>
      <c r="O14" s="41"/>
      <c r="P14" s="508"/>
      <c r="Q14" s="521"/>
      <c r="R14" s="523"/>
      <c r="S14" s="516"/>
      <c r="T14" s="58"/>
      <c r="U14" s="424">
        <v>37</v>
      </c>
      <c r="V14" s="388">
        <f t="shared" si="1"/>
        <v>1058.2</v>
      </c>
      <c r="W14" s="388">
        <f t="shared" si="2"/>
        <v>1283.9000000000001</v>
      </c>
      <c r="X14" s="423">
        <f t="shared" si="3"/>
        <v>2342.1000000000004</v>
      </c>
      <c r="Y14" s="58"/>
      <c r="Z14" s="443"/>
      <c r="AA14" s="443"/>
      <c r="AB14" s="419"/>
      <c r="AC14" s="387"/>
      <c r="AD14" s="388"/>
      <c r="AE14" s="388"/>
      <c r="AF14" s="383"/>
    </row>
    <row r="15" spans="2:32" x14ac:dyDescent="0.25">
      <c r="B15" s="33"/>
      <c r="C15" s="33"/>
      <c r="D15" s="40" t="s">
        <v>27</v>
      </c>
      <c r="E15" s="376">
        <v>31</v>
      </c>
      <c r="F15" s="57"/>
      <c r="G15" s="377"/>
      <c r="H15" s="377"/>
      <c r="I15" s="378">
        <v>54.88</v>
      </c>
      <c r="J15" s="379">
        <v>1828.3689999999999</v>
      </c>
      <c r="K15" s="380">
        <f t="shared" si="0"/>
        <v>28372.960000000003</v>
      </c>
      <c r="L15" s="381"/>
      <c r="M15" s="381"/>
      <c r="N15" s="381"/>
      <c r="O15" s="41"/>
      <c r="P15" s="508"/>
      <c r="Q15" s="521"/>
      <c r="R15" s="523"/>
      <c r="S15" s="516"/>
      <c r="T15" s="58"/>
      <c r="U15" s="424">
        <v>33</v>
      </c>
      <c r="V15" s="388">
        <f t="shared" si="1"/>
        <v>943.80000000000007</v>
      </c>
      <c r="W15" s="388">
        <f t="shared" si="2"/>
        <v>1145.1000000000001</v>
      </c>
      <c r="X15" s="423">
        <f t="shared" si="3"/>
        <v>2088.9</v>
      </c>
      <c r="Y15" s="58"/>
      <c r="Z15" s="443"/>
      <c r="AA15" s="443"/>
      <c r="AB15" s="419"/>
      <c r="AC15" s="387"/>
      <c r="AD15" s="388"/>
      <c r="AE15" s="388"/>
      <c r="AF15" s="383"/>
    </row>
    <row r="16" spans="2:32" x14ac:dyDescent="0.25">
      <c r="B16" s="33"/>
      <c r="C16" s="33"/>
      <c r="D16" s="40" t="s">
        <v>28</v>
      </c>
      <c r="E16" s="376">
        <v>30</v>
      </c>
      <c r="F16" s="57"/>
      <c r="G16" s="377"/>
      <c r="H16" s="377"/>
      <c r="I16" s="378">
        <v>77.37</v>
      </c>
      <c r="J16" s="379">
        <v>2577.7820000000002</v>
      </c>
      <c r="K16" s="380">
        <f t="shared" si="0"/>
        <v>40000.29</v>
      </c>
      <c r="L16" s="381"/>
      <c r="M16" s="381"/>
      <c r="N16" s="381"/>
      <c r="O16" s="41"/>
      <c r="P16" s="508"/>
      <c r="Q16" s="521"/>
      <c r="R16" s="523"/>
      <c r="S16" s="516"/>
      <c r="T16" s="58"/>
      <c r="U16" s="424">
        <v>37</v>
      </c>
      <c r="V16" s="388">
        <f t="shared" si="1"/>
        <v>1058.2</v>
      </c>
      <c r="W16" s="388">
        <f t="shared" si="2"/>
        <v>1283.9000000000001</v>
      </c>
      <c r="X16" s="423">
        <f t="shared" si="3"/>
        <v>2342.1000000000004</v>
      </c>
      <c r="Y16" s="58"/>
      <c r="Z16" s="443"/>
      <c r="AA16" s="443"/>
      <c r="AB16" s="419"/>
      <c r="AC16" s="387"/>
      <c r="AD16" s="388"/>
      <c r="AE16" s="388"/>
      <c r="AF16" s="383"/>
    </row>
    <row r="17" spans="2:32" x14ac:dyDescent="0.25">
      <c r="B17" s="33"/>
      <c r="C17" s="33"/>
      <c r="D17" s="40" t="s">
        <v>29</v>
      </c>
      <c r="E17" s="376">
        <v>31</v>
      </c>
      <c r="F17" s="57"/>
      <c r="G17" s="377"/>
      <c r="H17" s="377"/>
      <c r="I17" s="378">
        <v>86.49</v>
      </c>
      <c r="J17" s="379">
        <v>2881.518</v>
      </c>
      <c r="K17" s="380">
        <f>I17*517</f>
        <v>44715.329999999994</v>
      </c>
      <c r="L17" s="381"/>
      <c r="M17" s="381"/>
      <c r="N17" s="381"/>
      <c r="O17" s="41"/>
      <c r="P17" s="505"/>
      <c r="Q17" s="522"/>
      <c r="R17" s="511"/>
      <c r="S17" s="517"/>
      <c r="T17" s="41"/>
      <c r="U17" s="424">
        <v>33</v>
      </c>
      <c r="V17" s="388">
        <f>U17*28.6</f>
        <v>943.80000000000007</v>
      </c>
      <c r="W17" s="388">
        <f>U17*34.7</f>
        <v>1145.1000000000001</v>
      </c>
      <c r="X17" s="423">
        <f>W17+V17</f>
        <v>2088.9</v>
      </c>
      <c r="Y17" s="58"/>
      <c r="Z17" s="443"/>
      <c r="AA17" s="443"/>
      <c r="AB17" s="419"/>
      <c r="AC17" s="387"/>
      <c r="AD17" s="388"/>
      <c r="AE17" s="388"/>
      <c r="AF17" s="383"/>
    </row>
    <row r="18" spans="2:32" x14ac:dyDescent="0.25">
      <c r="B18" s="43"/>
      <c r="C18" s="43"/>
      <c r="D18" s="44"/>
      <c r="E18" s="60"/>
      <c r="F18" s="60"/>
      <c r="G18" s="45">
        <f>SUM(G6:G17)</f>
        <v>0</v>
      </c>
      <c r="H18" s="45">
        <f t="shared" ref="H18:N18" si="4">SUM(H6:H17)</f>
        <v>0</v>
      </c>
      <c r="I18" s="45">
        <f t="shared" si="4"/>
        <v>598.66999999999996</v>
      </c>
      <c r="J18" s="45">
        <f t="shared" si="4"/>
        <v>19950.476999999999</v>
      </c>
      <c r="K18" s="389">
        <f t="shared" si="4"/>
        <v>309512.38999999996</v>
      </c>
      <c r="L18" s="45">
        <f t="shared" si="4"/>
        <v>0</v>
      </c>
      <c r="M18" s="45">
        <f t="shared" si="4"/>
        <v>0</v>
      </c>
      <c r="N18" s="45">
        <f t="shared" si="4"/>
        <v>0</v>
      </c>
      <c r="O18" s="54"/>
      <c r="P18" s="390">
        <f t="shared" ref="P18:S18" si="5">SUM(P6:P17)</f>
        <v>63610</v>
      </c>
      <c r="Q18" s="391">
        <f t="shared" si="5"/>
        <v>232994.37</v>
      </c>
      <c r="R18" s="392">
        <f t="shared" si="5"/>
        <v>31770</v>
      </c>
      <c r="S18" s="394">
        <f t="shared" si="5"/>
        <v>119089.06</v>
      </c>
      <c r="T18" s="61"/>
      <c r="U18" s="45">
        <f>SUM(U6:U17)</f>
        <v>580</v>
      </c>
      <c r="V18" s="45"/>
      <c r="W18" s="45"/>
      <c r="X18" s="389">
        <f>SUM(X6:X17)</f>
        <v>36714</v>
      </c>
      <c r="Y18" s="32"/>
      <c r="Z18" s="45">
        <f>SUM(Z6:Z17)</f>
        <v>0</v>
      </c>
      <c r="AA18" s="45">
        <f>SUM(AA6:AA17)</f>
        <v>0</v>
      </c>
      <c r="AB18" s="391">
        <f t="shared" ref="AB18" si="6">SUM(AB6:AB17)</f>
        <v>0</v>
      </c>
      <c r="AC18" s="395">
        <f>SUM(AC6:AC17)</f>
        <v>0</v>
      </c>
      <c r="AD18" s="46"/>
      <c r="AE18" s="46">
        <f t="shared" ref="AE18:AF18" si="7">SUM(AE6:AE17)</f>
        <v>0</v>
      </c>
      <c r="AF18" s="394">
        <f t="shared" si="7"/>
        <v>0</v>
      </c>
    </row>
    <row r="19" spans="2:32" ht="15.75" x14ac:dyDescent="0.25">
      <c r="B19" s="396"/>
      <c r="C19" s="397"/>
      <c r="D19" s="398" t="s">
        <v>34</v>
      </c>
      <c r="G19" s="48">
        <v>0.15</v>
      </c>
      <c r="H19" s="49">
        <f>H18*(1+G19)</f>
        <v>0</v>
      </c>
      <c r="I19" s="49">
        <f>I18/3.6</f>
        <v>166.29722222222222</v>
      </c>
      <c r="J19" s="444" t="s">
        <v>213</v>
      </c>
      <c r="K19" s="399">
        <f>K18*(1+G19)</f>
        <v>355939.24849999993</v>
      </c>
      <c r="L19" s="50"/>
      <c r="M19" s="51"/>
      <c r="N19" s="49">
        <f>N18*(1+G19)</f>
        <v>0</v>
      </c>
      <c r="O19" s="62"/>
      <c r="P19" s="400">
        <v>0.21</v>
      </c>
      <c r="Q19" s="401">
        <f>Q18*(1+P19)</f>
        <v>281923.18770000001</v>
      </c>
      <c r="R19" s="402">
        <v>0.21</v>
      </c>
      <c r="S19" s="401">
        <f>S18*(1+R19)</f>
        <v>144097.76259999999</v>
      </c>
      <c r="T19" s="62"/>
      <c r="U19" s="48">
        <v>0.15</v>
      </c>
      <c r="V19" s="48"/>
      <c r="W19" s="48"/>
      <c r="X19" s="399">
        <f>X18*(1+U19)</f>
        <v>42221.1</v>
      </c>
      <c r="Y19" s="62"/>
      <c r="Z19" s="48">
        <v>0.21</v>
      </c>
      <c r="AA19" s="42"/>
      <c r="AB19" s="401">
        <f>AB18*(1+Z19)</f>
        <v>0</v>
      </c>
      <c r="AC19" s="403">
        <v>0.21</v>
      </c>
      <c r="AD19" s="48"/>
      <c r="AE19" s="42"/>
      <c r="AF19" s="401">
        <f>AF18*(1+AC19)</f>
        <v>0</v>
      </c>
    </row>
    <row r="20" spans="2:32" ht="20.100000000000001" customHeight="1" x14ac:dyDescent="0.25">
      <c r="B20" s="396"/>
      <c r="C20" s="397"/>
      <c r="D20" s="398"/>
      <c r="G20" s="404"/>
      <c r="H20" s="405"/>
      <c r="I20" s="405"/>
      <c r="J20" s="54"/>
      <c r="K20" s="405"/>
      <c r="L20" s="406"/>
      <c r="M20" s="54"/>
      <c r="N20" s="405"/>
      <c r="P20" s="407"/>
      <c r="Q20" s="408"/>
      <c r="R20" s="409"/>
      <c r="S20" s="408"/>
      <c r="U20" s="404"/>
      <c r="V20" s="404"/>
      <c r="W20" s="404"/>
      <c r="X20" s="405"/>
      <c r="Z20" s="404"/>
      <c r="AA20" s="411"/>
      <c r="AB20" s="408"/>
      <c r="AC20" s="412"/>
      <c r="AD20" s="404"/>
      <c r="AE20" s="411"/>
      <c r="AF20" s="408"/>
    </row>
    <row r="21" spans="2:32" ht="20.100000000000001" customHeight="1" x14ac:dyDescent="0.25">
      <c r="G21" s="53"/>
      <c r="H21" s="63"/>
      <c r="I21" s="63"/>
      <c r="J21" s="63"/>
      <c r="K21" s="63"/>
      <c r="L21" s="63"/>
      <c r="M21" s="63"/>
      <c r="N21" s="63"/>
      <c r="O21" s="65"/>
      <c r="P21" s="413"/>
      <c r="Q21" s="414"/>
      <c r="R21" s="415"/>
      <c r="S21" s="417"/>
      <c r="T21" s="65"/>
      <c r="U21" s="63"/>
      <c r="V21" s="63"/>
      <c r="W21" s="63"/>
      <c r="X21" s="63"/>
      <c r="Y21" s="65"/>
      <c r="AB21" s="414"/>
      <c r="AC21" s="375"/>
      <c r="AD21" s="34"/>
      <c r="AE21" s="34"/>
      <c r="AF21" s="417"/>
    </row>
    <row r="22" spans="2:32" ht="15.75" x14ac:dyDescent="0.25">
      <c r="B22" s="47">
        <f>B6+1</f>
        <v>2016</v>
      </c>
      <c r="D22" s="40" t="s">
        <v>18</v>
      </c>
      <c r="E22" s="376">
        <v>31</v>
      </c>
      <c r="F22" s="57"/>
      <c r="G22" s="377"/>
      <c r="H22" s="377"/>
      <c r="I22" s="378">
        <v>127.84</v>
      </c>
      <c r="J22" s="379">
        <v>4259.2470000000003</v>
      </c>
      <c r="K22" s="380">
        <f t="shared" ref="K22:K29" si="8">I22*512</f>
        <v>65454.080000000002</v>
      </c>
      <c r="L22" s="381"/>
      <c r="M22" s="381"/>
      <c r="N22" s="381"/>
      <c r="O22" s="41"/>
      <c r="P22" s="524">
        <v>23780</v>
      </c>
      <c r="Q22" s="520">
        <v>87859.58</v>
      </c>
      <c r="R22" s="528">
        <v>11782</v>
      </c>
      <c r="S22" s="524">
        <v>44496.160000000003</v>
      </c>
      <c r="T22" s="58"/>
      <c r="U22" s="424">
        <v>35</v>
      </c>
      <c r="V22" s="388">
        <f>U22*29.08</f>
        <v>1017.8</v>
      </c>
      <c r="W22" s="388">
        <f>U22*35.46</f>
        <v>1241.1000000000001</v>
      </c>
      <c r="X22" s="423">
        <f>W22+V22</f>
        <v>2258.9</v>
      </c>
      <c r="Y22" s="59"/>
      <c r="Z22" s="443"/>
      <c r="AA22" s="443"/>
      <c r="AB22" s="419"/>
      <c r="AC22" s="387"/>
      <c r="AD22" s="388"/>
      <c r="AE22" s="388"/>
      <c r="AF22" s="383"/>
    </row>
    <row r="23" spans="2:32" x14ac:dyDescent="0.25">
      <c r="D23" s="40" t="s">
        <v>19</v>
      </c>
      <c r="E23" s="376">
        <v>29</v>
      </c>
      <c r="F23" s="57"/>
      <c r="G23" s="377"/>
      <c r="H23" s="377"/>
      <c r="I23" s="378">
        <v>90.6</v>
      </c>
      <c r="J23" s="379">
        <v>3018.4969999999998</v>
      </c>
      <c r="K23" s="380">
        <f t="shared" si="8"/>
        <v>46387.199999999997</v>
      </c>
      <c r="L23" s="381"/>
      <c r="M23" s="381"/>
      <c r="N23" s="381"/>
      <c r="O23" s="41"/>
      <c r="P23" s="518"/>
      <c r="Q23" s="521"/>
      <c r="R23" s="529"/>
      <c r="S23" s="518"/>
      <c r="T23" s="58"/>
      <c r="U23" s="424">
        <v>42</v>
      </c>
      <c r="V23" s="388">
        <f t="shared" ref="V23:V33" si="9">U23*29.08</f>
        <v>1221.3599999999999</v>
      </c>
      <c r="W23" s="388">
        <f t="shared" ref="W23:W33" si="10">U23*35.46</f>
        <v>1489.32</v>
      </c>
      <c r="X23" s="423">
        <f t="shared" ref="X23:X33" si="11">W23+V23</f>
        <v>2710.68</v>
      </c>
      <c r="Y23" s="58"/>
      <c r="Z23" s="443"/>
      <c r="AA23" s="443"/>
      <c r="AB23" s="419"/>
      <c r="AC23" s="387"/>
      <c r="AD23" s="388"/>
      <c r="AE23" s="388"/>
      <c r="AF23" s="383"/>
    </row>
    <row r="24" spans="2:32" x14ac:dyDescent="0.25">
      <c r="D24" s="40" t="s">
        <v>20</v>
      </c>
      <c r="E24" s="376">
        <v>31</v>
      </c>
      <c r="F24" s="57"/>
      <c r="G24" s="377"/>
      <c r="H24" s="377"/>
      <c r="I24" s="378">
        <v>90.99</v>
      </c>
      <c r="J24" s="379">
        <v>3031.4</v>
      </c>
      <c r="K24" s="380">
        <f t="shared" si="8"/>
        <v>46586.879999999997</v>
      </c>
      <c r="L24" s="381"/>
      <c r="M24" s="381"/>
      <c r="N24" s="381"/>
      <c r="O24" s="41"/>
      <c r="P24" s="518"/>
      <c r="Q24" s="521"/>
      <c r="R24" s="529"/>
      <c r="S24" s="518"/>
      <c r="T24" s="58"/>
      <c r="U24" s="424">
        <v>35</v>
      </c>
      <c r="V24" s="388">
        <f t="shared" si="9"/>
        <v>1017.8</v>
      </c>
      <c r="W24" s="388">
        <f t="shared" si="10"/>
        <v>1241.1000000000001</v>
      </c>
      <c r="X24" s="423">
        <f t="shared" si="11"/>
        <v>2258.9</v>
      </c>
      <c r="Y24" s="58"/>
      <c r="Z24" s="443"/>
      <c r="AA24" s="443"/>
      <c r="AB24" s="419"/>
      <c r="AC24" s="387"/>
      <c r="AD24" s="388"/>
      <c r="AE24" s="388"/>
      <c r="AF24" s="383"/>
    </row>
    <row r="25" spans="2:32" x14ac:dyDescent="0.25">
      <c r="D25" s="40" t="s">
        <v>21</v>
      </c>
      <c r="E25" s="376">
        <v>30</v>
      </c>
      <c r="F25" s="57"/>
      <c r="G25" s="377"/>
      <c r="H25" s="377"/>
      <c r="I25" s="378">
        <v>65.63</v>
      </c>
      <c r="J25" s="379">
        <v>2203</v>
      </c>
      <c r="K25" s="380">
        <f t="shared" si="8"/>
        <v>33602.559999999998</v>
      </c>
      <c r="L25" s="381"/>
      <c r="M25" s="381"/>
      <c r="N25" s="381"/>
      <c r="O25" s="41"/>
      <c r="P25" s="519"/>
      <c r="Q25" s="522"/>
      <c r="R25" s="530"/>
      <c r="S25" s="519"/>
      <c r="T25" s="58"/>
      <c r="U25" s="424">
        <v>37</v>
      </c>
      <c r="V25" s="388">
        <f t="shared" si="9"/>
        <v>1075.96</v>
      </c>
      <c r="W25" s="388">
        <f t="shared" si="10"/>
        <v>1312.02</v>
      </c>
      <c r="X25" s="423">
        <f t="shared" si="11"/>
        <v>2387.98</v>
      </c>
      <c r="Y25" s="58"/>
      <c r="Z25" s="443"/>
      <c r="AA25" s="443"/>
      <c r="AB25" s="445"/>
      <c r="AC25" s="387"/>
      <c r="AD25" s="388"/>
      <c r="AE25" s="388"/>
      <c r="AF25" s="420"/>
    </row>
    <row r="26" spans="2:32" x14ac:dyDescent="0.25">
      <c r="D26" s="40" t="s">
        <v>22</v>
      </c>
      <c r="E26" s="376">
        <v>31</v>
      </c>
      <c r="F26" s="57"/>
      <c r="G26" s="377"/>
      <c r="H26" s="377"/>
      <c r="I26" s="378">
        <v>25</v>
      </c>
      <c r="J26" s="379">
        <v>832.79100000000005</v>
      </c>
      <c r="K26" s="380">
        <f t="shared" si="8"/>
        <v>12800</v>
      </c>
      <c r="L26" s="381"/>
      <c r="M26" s="381"/>
      <c r="N26" s="381"/>
      <c r="O26" s="41"/>
      <c r="P26" s="518">
        <v>16831</v>
      </c>
      <c r="Q26" s="520">
        <v>142735.88</v>
      </c>
      <c r="R26" s="528">
        <v>7986</v>
      </c>
      <c r="S26" s="524">
        <v>69831.45</v>
      </c>
      <c r="T26" s="58"/>
      <c r="U26" s="424">
        <v>39</v>
      </c>
      <c r="V26" s="388">
        <f t="shared" si="9"/>
        <v>1134.1199999999999</v>
      </c>
      <c r="W26" s="388">
        <f t="shared" si="10"/>
        <v>1382.94</v>
      </c>
      <c r="X26" s="423">
        <f t="shared" si="11"/>
        <v>2517.06</v>
      </c>
      <c r="Y26" s="58"/>
      <c r="Z26" s="443"/>
      <c r="AA26" s="443"/>
      <c r="AB26" s="445"/>
      <c r="AC26" s="387"/>
      <c r="AD26" s="388"/>
      <c r="AE26" s="388"/>
      <c r="AF26" s="420"/>
    </row>
    <row r="27" spans="2:32" x14ac:dyDescent="0.25">
      <c r="D27" s="40" t="s">
        <v>23</v>
      </c>
      <c r="E27" s="376">
        <v>30</v>
      </c>
      <c r="F27" s="57"/>
      <c r="G27" s="377"/>
      <c r="H27" s="377"/>
      <c r="I27" s="378">
        <v>0</v>
      </c>
      <c r="J27" s="379">
        <v>0</v>
      </c>
      <c r="K27" s="380">
        <f t="shared" si="8"/>
        <v>0</v>
      </c>
      <c r="L27" s="381"/>
      <c r="M27" s="381"/>
      <c r="N27" s="381"/>
      <c r="O27" s="41"/>
      <c r="P27" s="518"/>
      <c r="Q27" s="521"/>
      <c r="R27" s="529"/>
      <c r="S27" s="518"/>
      <c r="T27" s="58"/>
      <c r="U27" s="424">
        <v>38</v>
      </c>
      <c r="V27" s="388">
        <f t="shared" si="9"/>
        <v>1105.04</v>
      </c>
      <c r="W27" s="388">
        <f t="shared" si="10"/>
        <v>1347.48</v>
      </c>
      <c r="X27" s="423">
        <f t="shared" si="11"/>
        <v>2452.52</v>
      </c>
      <c r="Y27" s="58"/>
      <c r="Z27" s="443"/>
      <c r="AA27" s="443"/>
      <c r="AB27" s="445"/>
      <c r="AC27" s="387"/>
      <c r="AD27" s="388"/>
      <c r="AE27" s="388"/>
      <c r="AF27" s="420"/>
    </row>
    <row r="28" spans="2:32" x14ac:dyDescent="0.25">
      <c r="D28" s="40" t="s">
        <v>24</v>
      </c>
      <c r="E28" s="376">
        <v>31</v>
      </c>
      <c r="F28" s="57"/>
      <c r="G28" s="377"/>
      <c r="H28" s="377"/>
      <c r="I28" s="378">
        <v>0</v>
      </c>
      <c r="J28" s="379">
        <v>0</v>
      </c>
      <c r="K28" s="380">
        <f t="shared" si="8"/>
        <v>0</v>
      </c>
      <c r="L28" s="381"/>
      <c r="M28" s="381"/>
      <c r="N28" s="381"/>
      <c r="O28" s="41"/>
      <c r="P28" s="519"/>
      <c r="Q28" s="521"/>
      <c r="R28" s="530"/>
      <c r="S28" s="518"/>
      <c r="T28" s="58"/>
      <c r="U28" s="424">
        <v>28</v>
      </c>
      <c r="V28" s="388">
        <f t="shared" si="9"/>
        <v>814.24</v>
      </c>
      <c r="W28" s="388">
        <f t="shared" si="10"/>
        <v>992.88</v>
      </c>
      <c r="X28" s="423">
        <f t="shared" si="11"/>
        <v>1807.12</v>
      </c>
      <c r="Y28" s="58"/>
      <c r="Z28" s="443"/>
      <c r="AA28" s="443"/>
      <c r="AB28" s="445"/>
      <c r="AC28" s="387"/>
      <c r="AD28" s="388"/>
      <c r="AE28" s="388"/>
      <c r="AF28" s="420"/>
    </row>
    <row r="29" spans="2:32" x14ac:dyDescent="0.25">
      <c r="D29" s="40" t="s">
        <v>25</v>
      </c>
      <c r="E29" s="376">
        <v>31</v>
      </c>
      <c r="F29" s="57"/>
      <c r="G29" s="377"/>
      <c r="H29" s="377"/>
      <c r="I29" s="378">
        <v>0</v>
      </c>
      <c r="J29" s="379">
        <v>0</v>
      </c>
      <c r="K29" s="380">
        <f t="shared" si="8"/>
        <v>0</v>
      </c>
      <c r="L29" s="381"/>
      <c r="M29" s="381"/>
      <c r="N29" s="381"/>
      <c r="O29" s="41"/>
      <c r="P29" s="424">
        <v>5984</v>
      </c>
      <c r="Q29" s="521"/>
      <c r="R29" s="446">
        <v>2636</v>
      </c>
      <c r="S29" s="518"/>
      <c r="T29" s="58"/>
      <c r="U29" s="424">
        <v>35</v>
      </c>
      <c r="V29" s="388">
        <f t="shared" si="9"/>
        <v>1017.8</v>
      </c>
      <c r="W29" s="388">
        <f t="shared" si="10"/>
        <v>1241.1000000000001</v>
      </c>
      <c r="X29" s="423">
        <f t="shared" si="11"/>
        <v>2258.9</v>
      </c>
      <c r="Y29" s="58"/>
      <c r="Z29" s="443"/>
      <c r="AA29" s="443"/>
      <c r="AB29" s="445"/>
      <c r="AC29" s="387"/>
      <c r="AD29" s="388"/>
      <c r="AE29" s="388"/>
      <c r="AF29" s="420"/>
    </row>
    <row r="30" spans="2:32" x14ac:dyDescent="0.25">
      <c r="D30" s="40" t="s">
        <v>26</v>
      </c>
      <c r="E30" s="376">
        <v>30</v>
      </c>
      <c r="F30" s="57"/>
      <c r="G30" s="377"/>
      <c r="H30" s="377"/>
      <c r="I30" s="428">
        <v>8.8800000000000008</v>
      </c>
      <c r="J30" s="381">
        <v>295.79500000000002</v>
      </c>
      <c r="K30" s="423">
        <f>I30*512</f>
        <v>4546.5600000000004</v>
      </c>
      <c r="L30" s="381"/>
      <c r="M30" s="381"/>
      <c r="N30" s="381"/>
      <c r="O30" s="41"/>
      <c r="P30" s="504">
        <v>15633</v>
      </c>
      <c r="Q30" s="521"/>
      <c r="R30" s="446">
        <v>2116</v>
      </c>
      <c r="S30" s="518"/>
      <c r="T30" s="58"/>
      <c r="U30" s="424">
        <v>35</v>
      </c>
      <c r="V30" s="388">
        <f t="shared" si="9"/>
        <v>1017.8</v>
      </c>
      <c r="W30" s="388">
        <f t="shared" si="10"/>
        <v>1241.1000000000001</v>
      </c>
      <c r="X30" s="423">
        <f t="shared" si="11"/>
        <v>2258.9</v>
      </c>
      <c r="Y30" s="58"/>
      <c r="Z30" s="443"/>
      <c r="AA30" s="443"/>
      <c r="AB30" s="445"/>
      <c r="AC30" s="387"/>
      <c r="AD30" s="388"/>
      <c r="AE30" s="388"/>
      <c r="AF30" s="420"/>
    </row>
    <row r="31" spans="2:32" x14ac:dyDescent="0.25">
      <c r="D31" s="40" t="s">
        <v>27</v>
      </c>
      <c r="E31" s="376">
        <v>31</v>
      </c>
      <c r="F31" s="57"/>
      <c r="G31" s="377"/>
      <c r="H31" s="377"/>
      <c r="I31" s="428">
        <v>62.59</v>
      </c>
      <c r="J31" s="381">
        <v>2085.453</v>
      </c>
      <c r="K31" s="423">
        <f t="shared" ref="K31:K33" si="12">I31*512</f>
        <v>32046.080000000002</v>
      </c>
      <c r="L31" s="381"/>
      <c r="M31" s="381"/>
      <c r="N31" s="381"/>
      <c r="O31" s="41"/>
      <c r="P31" s="508"/>
      <c r="Q31" s="521"/>
      <c r="R31" s="528">
        <v>5502</v>
      </c>
      <c r="S31" s="518"/>
      <c r="T31" s="58"/>
      <c r="U31" s="424">
        <v>38</v>
      </c>
      <c r="V31" s="388">
        <f t="shared" si="9"/>
        <v>1105.04</v>
      </c>
      <c r="W31" s="388">
        <f t="shared" si="10"/>
        <v>1347.48</v>
      </c>
      <c r="X31" s="423">
        <f t="shared" si="11"/>
        <v>2452.52</v>
      </c>
      <c r="Y31" s="58"/>
      <c r="Z31" s="443"/>
      <c r="AA31" s="443"/>
      <c r="AB31" s="445"/>
      <c r="AC31" s="387"/>
      <c r="AD31" s="388"/>
      <c r="AE31" s="388"/>
      <c r="AF31" s="420"/>
    </row>
    <row r="32" spans="2:32" x14ac:dyDescent="0.25">
      <c r="D32" s="40" t="s">
        <v>28</v>
      </c>
      <c r="E32" s="376">
        <v>30</v>
      </c>
      <c r="F32" s="57"/>
      <c r="G32" s="377"/>
      <c r="H32" s="377"/>
      <c r="I32" s="428">
        <v>93.79</v>
      </c>
      <c r="J32" s="381">
        <v>3124.7049999999999</v>
      </c>
      <c r="K32" s="423">
        <f t="shared" si="12"/>
        <v>48020.480000000003</v>
      </c>
      <c r="L32" s="381"/>
      <c r="M32" s="381"/>
      <c r="N32" s="381"/>
      <c r="O32" s="41"/>
      <c r="P32" s="508"/>
      <c r="Q32" s="521"/>
      <c r="R32" s="529"/>
      <c r="S32" s="518"/>
      <c r="T32" s="58"/>
      <c r="U32" s="424">
        <v>37</v>
      </c>
      <c r="V32" s="388">
        <f t="shared" si="9"/>
        <v>1075.96</v>
      </c>
      <c r="W32" s="388">
        <f t="shared" si="10"/>
        <v>1312.02</v>
      </c>
      <c r="X32" s="423">
        <f t="shared" si="11"/>
        <v>2387.98</v>
      </c>
      <c r="Y32" s="58"/>
      <c r="Z32" s="443"/>
      <c r="AA32" s="443"/>
      <c r="AB32" s="445"/>
      <c r="AC32" s="387"/>
      <c r="AD32" s="388"/>
      <c r="AE32" s="388"/>
      <c r="AF32" s="420"/>
    </row>
    <row r="33" spans="2:34" x14ac:dyDescent="0.25">
      <c r="D33" s="40" t="s">
        <v>29</v>
      </c>
      <c r="E33" s="376">
        <v>31</v>
      </c>
      <c r="F33" s="57"/>
      <c r="G33" s="377"/>
      <c r="H33" s="377"/>
      <c r="I33" s="428">
        <v>119.23</v>
      </c>
      <c r="J33" s="381">
        <v>3972.3850000000002</v>
      </c>
      <c r="K33" s="423">
        <f t="shared" si="12"/>
        <v>61045.760000000002</v>
      </c>
      <c r="L33" s="381"/>
      <c r="M33" s="381"/>
      <c r="N33" s="381"/>
      <c r="O33" s="41"/>
      <c r="P33" s="505"/>
      <c r="Q33" s="522"/>
      <c r="R33" s="530"/>
      <c r="S33" s="519"/>
      <c r="T33" s="41"/>
      <c r="U33" s="424">
        <v>28</v>
      </c>
      <c r="V33" s="388">
        <f t="shared" si="9"/>
        <v>814.24</v>
      </c>
      <c r="W33" s="388">
        <f t="shared" si="10"/>
        <v>992.88</v>
      </c>
      <c r="X33" s="423">
        <f t="shared" si="11"/>
        <v>1807.12</v>
      </c>
      <c r="Y33" s="58"/>
      <c r="Z33" s="443"/>
      <c r="AA33" s="443"/>
      <c r="AB33" s="445"/>
      <c r="AC33" s="387"/>
      <c r="AD33" s="388"/>
      <c r="AE33" s="388"/>
      <c r="AF33" s="420"/>
    </row>
    <row r="34" spans="2:34" x14ac:dyDescent="0.25">
      <c r="B34" s="43"/>
      <c r="C34" s="43"/>
      <c r="D34" s="44"/>
      <c r="E34" s="60"/>
      <c r="F34" s="60"/>
      <c r="G34" s="45">
        <f>SUM(G22:G33)</f>
        <v>0</v>
      </c>
      <c r="H34" s="45">
        <f t="shared" ref="H34:N34" si="13">SUM(H22:H33)</f>
        <v>0</v>
      </c>
      <c r="I34" s="45">
        <f t="shared" si="13"/>
        <v>684.55</v>
      </c>
      <c r="J34" s="45">
        <f t="shared" si="13"/>
        <v>22823.273000000001</v>
      </c>
      <c r="K34" s="389">
        <f t="shared" si="13"/>
        <v>350489.59999999998</v>
      </c>
      <c r="L34" s="45">
        <f t="shared" si="13"/>
        <v>0</v>
      </c>
      <c r="M34" s="45">
        <f t="shared" si="13"/>
        <v>0</v>
      </c>
      <c r="N34" s="45">
        <f t="shared" si="13"/>
        <v>0</v>
      </c>
      <c r="O34" s="45"/>
      <c r="P34" s="390">
        <f>SUM(P22:P33)</f>
        <v>62228</v>
      </c>
      <c r="Q34" s="391">
        <f>SUM(Q22:Q33)</f>
        <v>230595.46000000002</v>
      </c>
      <c r="R34" s="392">
        <f>SUM(R22:R33)</f>
        <v>30022</v>
      </c>
      <c r="S34" s="394">
        <f>SUM(S22:S33)</f>
        <v>114327.61</v>
      </c>
      <c r="T34" s="45"/>
      <c r="U34" s="45">
        <f t="shared" ref="U34" si="14">SUM(U22:U33)</f>
        <v>427</v>
      </c>
      <c r="V34" s="45"/>
      <c r="W34" s="45"/>
      <c r="X34" s="389">
        <f t="shared" ref="X34" si="15">SUM(X22:X33)</f>
        <v>27558.58</v>
      </c>
      <c r="Y34" s="46"/>
      <c r="Z34" s="45">
        <f>SUM(Z22:Z33)</f>
        <v>0</v>
      </c>
      <c r="AA34" s="45">
        <f t="shared" ref="AA34:AB34" si="16">SUM(AA22:AA33)</f>
        <v>0</v>
      </c>
      <c r="AB34" s="391">
        <f t="shared" si="16"/>
        <v>0</v>
      </c>
      <c r="AC34" s="395">
        <f>SUM(AC22:AC33)</f>
        <v>0</v>
      </c>
      <c r="AD34" s="46"/>
      <c r="AE34" s="46">
        <f t="shared" ref="AE34:AF34" si="17">SUM(AE22:AE33)</f>
        <v>0</v>
      </c>
      <c r="AF34" s="394">
        <f t="shared" si="17"/>
        <v>0</v>
      </c>
    </row>
    <row r="35" spans="2:34" ht="15.75" x14ac:dyDescent="0.25">
      <c r="B35" s="396"/>
      <c r="C35" s="397"/>
      <c r="D35" s="398" t="s">
        <v>34</v>
      </c>
      <c r="G35" s="48">
        <v>0.15</v>
      </c>
      <c r="H35" s="49">
        <f>H34*(1+G35)</f>
        <v>0</v>
      </c>
      <c r="I35" s="49">
        <f>I34/3.6</f>
        <v>190.15277777777777</v>
      </c>
      <c r="J35" s="444" t="s">
        <v>213</v>
      </c>
      <c r="K35" s="399">
        <f>K34*(1+G35)</f>
        <v>403063.03999999992</v>
      </c>
      <c r="L35" s="50"/>
      <c r="M35" s="51"/>
      <c r="N35" s="49">
        <f>N34*(1+G35)</f>
        <v>0</v>
      </c>
      <c r="O35" s="42"/>
      <c r="P35" s="400">
        <v>0.21</v>
      </c>
      <c r="Q35" s="401">
        <f>Q34*(1+P35)</f>
        <v>279020.50660000002</v>
      </c>
      <c r="R35" s="402">
        <v>0.21</v>
      </c>
      <c r="S35" s="401">
        <f>S34*(1+R35)</f>
        <v>138336.4081</v>
      </c>
      <c r="T35" s="42"/>
      <c r="U35" s="48">
        <v>0.15</v>
      </c>
      <c r="V35" s="48"/>
      <c r="W35" s="48"/>
      <c r="X35" s="399">
        <f>X34*(1+U35)</f>
        <v>31692.366999999998</v>
      </c>
      <c r="Y35" s="42"/>
      <c r="Z35" s="48">
        <v>0.21</v>
      </c>
      <c r="AA35" s="42"/>
      <c r="AB35" s="401">
        <f>AB34*(1+Z35)</f>
        <v>0</v>
      </c>
      <c r="AC35" s="403">
        <v>0.21</v>
      </c>
      <c r="AD35" s="48"/>
      <c r="AE35" s="42"/>
      <c r="AF35" s="401">
        <f>AF34*(1+AC35)</f>
        <v>0</v>
      </c>
    </row>
    <row r="36" spans="2:34" ht="15.75" x14ac:dyDescent="0.25">
      <c r="B36" s="396"/>
      <c r="C36" s="397"/>
      <c r="D36" s="398"/>
      <c r="G36" s="404"/>
      <c r="H36" s="405"/>
      <c r="I36" s="405"/>
      <c r="J36" s="54"/>
      <c r="K36" s="405"/>
      <c r="L36" s="406"/>
      <c r="M36" s="54"/>
      <c r="N36" s="405"/>
      <c r="O36" s="411"/>
      <c r="P36" s="407"/>
      <c r="Q36" s="408"/>
      <c r="R36" s="447"/>
      <c r="S36" s="408"/>
      <c r="T36" s="411"/>
      <c r="U36" s="404"/>
      <c r="V36" s="404"/>
      <c r="W36" s="404"/>
      <c r="X36" s="405"/>
      <c r="Y36" s="411"/>
      <c r="Z36" s="404"/>
      <c r="AA36" s="411"/>
      <c r="AB36" s="408"/>
      <c r="AC36" s="412"/>
      <c r="AD36" s="404"/>
      <c r="AE36" s="411"/>
      <c r="AF36" s="408"/>
    </row>
    <row r="37" spans="2:34" ht="20.100000000000001" customHeight="1" x14ac:dyDescent="0.25">
      <c r="G37" s="53"/>
      <c r="H37" s="63"/>
      <c r="I37" s="63"/>
      <c r="J37" s="63"/>
      <c r="K37" s="63"/>
      <c r="L37" s="63"/>
      <c r="M37" s="63"/>
      <c r="N37" s="63"/>
      <c r="O37" s="65"/>
      <c r="P37" s="413"/>
      <c r="Q37" s="414"/>
      <c r="R37" s="448"/>
      <c r="S37" s="449"/>
      <c r="T37" s="65"/>
      <c r="U37" s="63"/>
      <c r="V37" s="63"/>
      <c r="W37" s="63"/>
      <c r="X37" s="63"/>
      <c r="Y37" s="65"/>
      <c r="AB37" s="414"/>
      <c r="AC37" s="375"/>
      <c r="AD37" s="34"/>
      <c r="AE37" s="34"/>
      <c r="AF37" s="417"/>
    </row>
    <row r="38" spans="2:34" ht="15.75" x14ac:dyDescent="0.25">
      <c r="B38" s="47">
        <f>B22+1</f>
        <v>2017</v>
      </c>
      <c r="D38" s="40" t="s">
        <v>18</v>
      </c>
      <c r="E38" s="376">
        <v>31</v>
      </c>
      <c r="F38" s="57"/>
      <c r="G38" s="377"/>
      <c r="H38" s="377"/>
      <c r="I38" s="378">
        <v>135.53</v>
      </c>
      <c r="J38" s="422">
        <v>4515.3370000000004</v>
      </c>
      <c r="K38" s="423">
        <f t="shared" ref="K38:K48" si="18">I38*463.34</f>
        <v>62796.470199999996</v>
      </c>
      <c r="L38" s="422"/>
      <c r="M38" s="422"/>
      <c r="N38" s="422"/>
      <c r="O38" s="66"/>
      <c r="P38" s="504">
        <v>23906</v>
      </c>
      <c r="Q38" s="520">
        <v>85113.18</v>
      </c>
      <c r="R38" s="551">
        <v>12655</v>
      </c>
      <c r="S38" s="524">
        <v>46080.33</v>
      </c>
      <c r="T38" s="58"/>
      <c r="U38" s="424">
        <v>45</v>
      </c>
      <c r="V38" s="388">
        <f>U38*29.86</f>
        <v>1343.7</v>
      </c>
      <c r="W38" s="388">
        <f>U38*36.38</f>
        <v>1637.1000000000001</v>
      </c>
      <c r="X38" s="423">
        <f>W38+V38</f>
        <v>2980.8</v>
      </c>
      <c r="Y38" s="59"/>
      <c r="Z38" s="388"/>
      <c r="AA38" s="388"/>
      <c r="AB38" s="383"/>
      <c r="AC38" s="387"/>
      <c r="AD38" s="424"/>
      <c r="AE38" s="388"/>
      <c r="AF38" s="383"/>
    </row>
    <row r="39" spans="2:34" x14ac:dyDescent="0.25">
      <c r="D39" s="40" t="s">
        <v>19</v>
      </c>
      <c r="E39" s="376">
        <v>28</v>
      </c>
      <c r="F39" s="57"/>
      <c r="G39" s="377"/>
      <c r="H39" s="377"/>
      <c r="I39" s="378">
        <v>101.74</v>
      </c>
      <c r="J39" s="422">
        <v>3389.7289999999998</v>
      </c>
      <c r="K39" s="423">
        <f t="shared" si="18"/>
        <v>47140.211599999995</v>
      </c>
      <c r="L39" s="422"/>
      <c r="M39" s="422"/>
      <c r="N39" s="422"/>
      <c r="O39" s="66"/>
      <c r="P39" s="508"/>
      <c r="Q39" s="521"/>
      <c r="R39" s="552"/>
      <c r="S39" s="518"/>
      <c r="T39" s="58"/>
      <c r="U39" s="424">
        <v>44</v>
      </c>
      <c r="V39" s="388">
        <f t="shared" ref="V39:V49" si="19">U39*29.86</f>
        <v>1313.84</v>
      </c>
      <c r="W39" s="388">
        <f t="shared" ref="W39:W49" si="20">U39*36.38</f>
        <v>1600.72</v>
      </c>
      <c r="X39" s="423">
        <f t="shared" ref="X39:X49" si="21">W39+V39</f>
        <v>2914.56</v>
      </c>
      <c r="Y39" s="58"/>
      <c r="Z39" s="388"/>
      <c r="AA39" s="388"/>
      <c r="AB39" s="383"/>
      <c r="AC39" s="387"/>
      <c r="AD39" s="424"/>
      <c r="AE39" s="388"/>
      <c r="AF39" s="383"/>
    </row>
    <row r="40" spans="2:34" x14ac:dyDescent="0.25">
      <c r="D40" s="40" t="s">
        <v>20</v>
      </c>
      <c r="E40" s="376">
        <v>31</v>
      </c>
      <c r="F40" s="57"/>
      <c r="G40" s="377"/>
      <c r="H40" s="377"/>
      <c r="I40" s="378">
        <v>81.48</v>
      </c>
      <c r="J40" s="422">
        <v>2714.761</v>
      </c>
      <c r="K40" s="423">
        <f t="shared" si="18"/>
        <v>37752.943200000002</v>
      </c>
      <c r="L40" s="422"/>
      <c r="M40" s="422"/>
      <c r="N40" s="422"/>
      <c r="O40" s="66"/>
      <c r="P40" s="508"/>
      <c r="Q40" s="521"/>
      <c r="R40" s="552"/>
      <c r="S40" s="518"/>
      <c r="T40" s="58"/>
      <c r="U40" s="424">
        <v>41</v>
      </c>
      <c r="V40" s="388">
        <f t="shared" si="19"/>
        <v>1224.26</v>
      </c>
      <c r="W40" s="388">
        <f t="shared" si="20"/>
        <v>1491.5800000000002</v>
      </c>
      <c r="X40" s="423">
        <f t="shared" si="21"/>
        <v>2715.84</v>
      </c>
      <c r="Y40" s="58"/>
      <c r="Z40" s="388"/>
      <c r="AA40" s="388"/>
      <c r="AB40" s="383"/>
      <c r="AC40" s="387"/>
      <c r="AD40" s="424"/>
      <c r="AE40" s="388"/>
      <c r="AF40" s="383"/>
    </row>
    <row r="41" spans="2:34" x14ac:dyDescent="0.25">
      <c r="D41" s="40" t="s">
        <v>21</v>
      </c>
      <c r="E41" s="376">
        <v>30</v>
      </c>
      <c r="F41" s="57"/>
      <c r="G41" s="377"/>
      <c r="H41" s="377"/>
      <c r="I41" s="378">
        <v>79.84</v>
      </c>
      <c r="J41" s="422">
        <v>2660.1680000000001</v>
      </c>
      <c r="K41" s="423">
        <f t="shared" si="18"/>
        <v>36993.065600000002</v>
      </c>
      <c r="L41" s="422"/>
      <c r="M41" s="422"/>
      <c r="N41" s="422"/>
      <c r="O41" s="66"/>
      <c r="P41" s="505"/>
      <c r="Q41" s="522"/>
      <c r="R41" s="553"/>
      <c r="S41" s="519"/>
      <c r="T41" s="58"/>
      <c r="U41" s="424">
        <v>36</v>
      </c>
      <c r="V41" s="388">
        <f t="shared" si="19"/>
        <v>1074.96</v>
      </c>
      <c r="W41" s="388">
        <f t="shared" si="20"/>
        <v>1309.68</v>
      </c>
      <c r="X41" s="423">
        <f t="shared" si="21"/>
        <v>2384.6400000000003</v>
      </c>
      <c r="Y41" s="58"/>
      <c r="Z41" s="388"/>
      <c r="AA41" s="388"/>
      <c r="AB41" s="383"/>
      <c r="AC41" s="387"/>
      <c r="AD41" s="424"/>
      <c r="AE41" s="388"/>
      <c r="AF41" s="383"/>
      <c r="AH41" s="425"/>
    </row>
    <row r="42" spans="2:34" x14ac:dyDescent="0.25">
      <c r="D42" s="40" t="s">
        <v>22</v>
      </c>
      <c r="E42" s="376">
        <v>31</v>
      </c>
      <c r="F42" s="57"/>
      <c r="G42" s="377"/>
      <c r="H42" s="377"/>
      <c r="I42" s="378">
        <v>27.38</v>
      </c>
      <c r="J42" s="422">
        <v>912.19899999999996</v>
      </c>
      <c r="K42" s="423">
        <f t="shared" si="18"/>
        <v>12686.249199999998</v>
      </c>
      <c r="L42" s="422"/>
      <c r="M42" s="422"/>
      <c r="N42" s="422"/>
      <c r="O42" s="66"/>
      <c r="P42" s="432">
        <v>7203</v>
      </c>
      <c r="Q42" s="520">
        <v>140294.09</v>
      </c>
      <c r="R42" s="426">
        <v>3134</v>
      </c>
      <c r="S42" s="504">
        <v>64702.89</v>
      </c>
      <c r="T42" s="58"/>
      <c r="U42" s="424">
        <v>49</v>
      </c>
      <c r="V42" s="388">
        <f t="shared" si="19"/>
        <v>1463.1399999999999</v>
      </c>
      <c r="W42" s="388">
        <f t="shared" si="20"/>
        <v>1782.6200000000001</v>
      </c>
      <c r="X42" s="423">
        <f t="shared" si="21"/>
        <v>3245.76</v>
      </c>
      <c r="Y42" s="58"/>
      <c r="Z42" s="388"/>
      <c r="AA42" s="388"/>
      <c r="AB42" s="383"/>
      <c r="AC42" s="387"/>
      <c r="AD42" s="424"/>
      <c r="AE42" s="388"/>
      <c r="AF42" s="383"/>
    </row>
    <row r="43" spans="2:34" x14ac:dyDescent="0.25">
      <c r="D43" s="40" t="s">
        <v>23</v>
      </c>
      <c r="E43" s="376">
        <v>30</v>
      </c>
      <c r="F43" s="57"/>
      <c r="G43" s="377"/>
      <c r="H43" s="377"/>
      <c r="I43" s="378">
        <v>0</v>
      </c>
      <c r="J43" s="422">
        <v>0</v>
      </c>
      <c r="K43" s="423">
        <f t="shared" si="18"/>
        <v>0</v>
      </c>
      <c r="L43" s="422"/>
      <c r="M43" s="422"/>
      <c r="N43" s="422"/>
      <c r="O43" s="66"/>
      <c r="P43" s="424">
        <v>1651</v>
      </c>
      <c r="Q43" s="521"/>
      <c r="R43" s="510">
        <v>4439</v>
      </c>
      <c r="S43" s="508"/>
      <c r="T43" s="58"/>
      <c r="U43" s="424">
        <v>43</v>
      </c>
      <c r="V43" s="388">
        <f t="shared" si="19"/>
        <v>1283.98</v>
      </c>
      <c r="W43" s="388">
        <f t="shared" si="20"/>
        <v>1564.3400000000001</v>
      </c>
      <c r="X43" s="423">
        <f t="shared" si="21"/>
        <v>2848.32</v>
      </c>
      <c r="Y43" s="58"/>
      <c r="Z43" s="388"/>
      <c r="AA43" s="388"/>
      <c r="AB43" s="383"/>
      <c r="AC43" s="387"/>
      <c r="AD43" s="424"/>
      <c r="AE43" s="388"/>
      <c r="AF43" s="383"/>
    </row>
    <row r="44" spans="2:34" x14ac:dyDescent="0.25">
      <c r="D44" s="40" t="s">
        <v>24</v>
      </c>
      <c r="E44" s="376">
        <v>31</v>
      </c>
      <c r="F44" s="57"/>
      <c r="G44" s="377"/>
      <c r="H44" s="377"/>
      <c r="I44" s="378">
        <v>0</v>
      </c>
      <c r="J44" s="422">
        <v>0</v>
      </c>
      <c r="K44" s="423">
        <f t="shared" si="18"/>
        <v>0</v>
      </c>
      <c r="L44" s="422"/>
      <c r="M44" s="422"/>
      <c r="N44" s="422"/>
      <c r="O44" s="66"/>
      <c r="P44" s="424">
        <v>3515</v>
      </c>
      <c r="Q44" s="521"/>
      <c r="R44" s="511"/>
      <c r="S44" s="508"/>
      <c r="T44" s="58"/>
      <c r="U44" s="424">
        <v>38</v>
      </c>
      <c r="V44" s="388">
        <f t="shared" si="19"/>
        <v>1134.68</v>
      </c>
      <c r="W44" s="388">
        <f t="shared" si="20"/>
        <v>1382.44</v>
      </c>
      <c r="X44" s="423">
        <f t="shared" si="21"/>
        <v>2517.12</v>
      </c>
      <c r="Y44" s="58"/>
      <c r="Z44" s="388"/>
      <c r="AA44" s="388"/>
      <c r="AB44" s="383"/>
      <c r="AC44" s="387"/>
      <c r="AD44" s="424"/>
      <c r="AE44" s="388"/>
      <c r="AF44" s="383"/>
    </row>
    <row r="45" spans="2:34" x14ac:dyDescent="0.25">
      <c r="D45" s="40" t="s">
        <v>25</v>
      </c>
      <c r="E45" s="376">
        <v>31</v>
      </c>
      <c r="F45" s="57"/>
      <c r="G45" s="377"/>
      <c r="H45" s="377"/>
      <c r="I45" s="378">
        <v>0</v>
      </c>
      <c r="J45" s="422">
        <v>0</v>
      </c>
      <c r="K45" s="423">
        <f t="shared" si="18"/>
        <v>0</v>
      </c>
      <c r="L45" s="422"/>
      <c r="M45" s="422"/>
      <c r="N45" s="422"/>
      <c r="O45" s="66"/>
      <c r="P45" s="424">
        <v>6067</v>
      </c>
      <c r="Q45" s="521"/>
      <c r="R45" s="426">
        <v>1926</v>
      </c>
      <c r="S45" s="508"/>
      <c r="T45" s="58"/>
      <c r="U45" s="424">
        <v>44</v>
      </c>
      <c r="V45" s="388">
        <f t="shared" si="19"/>
        <v>1313.84</v>
      </c>
      <c r="W45" s="388">
        <f t="shared" si="20"/>
        <v>1600.72</v>
      </c>
      <c r="X45" s="423">
        <f t="shared" si="21"/>
        <v>2914.56</v>
      </c>
      <c r="Y45" s="58"/>
      <c r="Z45" s="388"/>
      <c r="AA45" s="388"/>
      <c r="AB45" s="383"/>
      <c r="AC45" s="387"/>
      <c r="AD45" s="424"/>
      <c r="AE45" s="388"/>
      <c r="AF45" s="383"/>
    </row>
    <row r="46" spans="2:34" x14ac:dyDescent="0.25">
      <c r="D46" s="40" t="s">
        <v>26</v>
      </c>
      <c r="E46" s="376">
        <v>30</v>
      </c>
      <c r="F46" s="57"/>
      <c r="G46" s="377"/>
      <c r="H46" s="377"/>
      <c r="I46" s="378">
        <v>34.71</v>
      </c>
      <c r="J46" s="422">
        <v>1156.3789999999999</v>
      </c>
      <c r="K46" s="423">
        <f t="shared" si="18"/>
        <v>16082.5314</v>
      </c>
      <c r="L46" s="422"/>
      <c r="M46" s="422"/>
      <c r="N46" s="422"/>
      <c r="O46" s="66"/>
      <c r="P46" s="424">
        <v>5053</v>
      </c>
      <c r="Q46" s="521"/>
      <c r="R46" s="426">
        <v>2333</v>
      </c>
      <c r="S46" s="508"/>
      <c r="T46" s="58"/>
      <c r="U46" s="424">
        <v>45</v>
      </c>
      <c r="V46" s="388">
        <f t="shared" si="19"/>
        <v>1343.7</v>
      </c>
      <c r="W46" s="388">
        <f t="shared" si="20"/>
        <v>1637.1000000000001</v>
      </c>
      <c r="X46" s="423">
        <f t="shared" si="21"/>
        <v>2980.8</v>
      </c>
      <c r="Y46" s="58"/>
      <c r="Z46" s="388"/>
      <c r="AA46" s="388"/>
      <c r="AB46" s="383"/>
      <c r="AC46" s="387"/>
      <c r="AD46" s="424"/>
      <c r="AE46" s="388"/>
      <c r="AF46" s="383"/>
    </row>
    <row r="47" spans="2:34" x14ac:dyDescent="0.25">
      <c r="D47" s="40" t="s">
        <v>27</v>
      </c>
      <c r="E47" s="376">
        <v>31</v>
      </c>
      <c r="F47" s="57"/>
      <c r="G47" s="377"/>
      <c r="H47" s="377"/>
      <c r="I47" s="378">
        <v>57.14</v>
      </c>
      <c r="J47" s="422">
        <v>1903.807</v>
      </c>
      <c r="K47" s="423">
        <f t="shared" si="18"/>
        <v>26475.247599999999</v>
      </c>
      <c r="L47" s="422"/>
      <c r="M47" s="422"/>
      <c r="N47" s="422"/>
      <c r="O47" s="66"/>
      <c r="P47" s="424">
        <v>4930</v>
      </c>
      <c r="Q47" s="521"/>
      <c r="R47" s="426">
        <v>3212</v>
      </c>
      <c r="S47" s="508"/>
      <c r="T47" s="58"/>
      <c r="U47" s="424">
        <v>46</v>
      </c>
      <c r="V47" s="388">
        <f t="shared" si="19"/>
        <v>1373.56</v>
      </c>
      <c r="W47" s="388">
        <f t="shared" si="20"/>
        <v>1673.48</v>
      </c>
      <c r="X47" s="423">
        <f t="shared" si="21"/>
        <v>3047.04</v>
      </c>
      <c r="Y47" s="58"/>
      <c r="Z47" s="388"/>
      <c r="AA47" s="388"/>
      <c r="AB47" s="383"/>
      <c r="AC47" s="387"/>
      <c r="AD47" s="424"/>
      <c r="AE47" s="388"/>
      <c r="AF47" s="383"/>
    </row>
    <row r="48" spans="2:34" x14ac:dyDescent="0.25">
      <c r="D48" s="40" t="s">
        <v>28</v>
      </c>
      <c r="E48" s="376">
        <v>30</v>
      </c>
      <c r="F48" s="57"/>
      <c r="G48" s="377"/>
      <c r="H48" s="377"/>
      <c r="I48" s="378">
        <v>81.33</v>
      </c>
      <c r="J48" s="422">
        <v>2709.7979999999998</v>
      </c>
      <c r="K48" s="423">
        <f t="shared" si="18"/>
        <v>37683.442199999998</v>
      </c>
      <c r="L48" s="422"/>
      <c r="M48" s="422"/>
      <c r="N48" s="422"/>
      <c r="O48" s="66"/>
      <c r="P48" s="424">
        <v>6065</v>
      </c>
      <c r="Q48" s="521"/>
      <c r="R48" s="510">
        <v>2469</v>
      </c>
      <c r="S48" s="508"/>
      <c r="T48" s="58"/>
      <c r="U48" s="424">
        <v>47</v>
      </c>
      <c r="V48" s="388">
        <f t="shared" si="19"/>
        <v>1403.42</v>
      </c>
      <c r="W48" s="388">
        <f t="shared" si="20"/>
        <v>1709.8600000000001</v>
      </c>
      <c r="X48" s="423">
        <f t="shared" si="21"/>
        <v>3113.28</v>
      </c>
      <c r="Y48" s="58"/>
      <c r="Z48" s="388"/>
      <c r="AA48" s="388"/>
      <c r="AB48" s="383"/>
      <c r="AC48" s="387"/>
      <c r="AD48" s="424"/>
      <c r="AE48" s="388"/>
      <c r="AF48" s="383"/>
    </row>
    <row r="49" spans="2:32" x14ac:dyDescent="0.25">
      <c r="D49" s="40" t="s">
        <v>29</v>
      </c>
      <c r="E49" s="376">
        <v>31</v>
      </c>
      <c r="F49" s="57"/>
      <c r="G49" s="377"/>
      <c r="H49" s="377"/>
      <c r="I49" s="378">
        <v>110.77</v>
      </c>
      <c r="J49" s="422">
        <v>3690.4870000000001</v>
      </c>
      <c r="K49" s="423">
        <f>I49*463.34</f>
        <v>51324.171799999996</v>
      </c>
      <c r="L49" s="422"/>
      <c r="M49" s="422"/>
      <c r="N49" s="422"/>
      <c r="O49" s="66"/>
      <c r="P49" s="424">
        <v>4732</v>
      </c>
      <c r="Q49" s="522"/>
      <c r="R49" s="511"/>
      <c r="S49" s="505"/>
      <c r="T49" s="41"/>
      <c r="U49" s="424">
        <v>27</v>
      </c>
      <c r="V49" s="388">
        <f t="shared" si="19"/>
        <v>806.22</v>
      </c>
      <c r="W49" s="388">
        <f t="shared" si="20"/>
        <v>982.2600000000001</v>
      </c>
      <c r="X49" s="423">
        <f t="shared" si="21"/>
        <v>1788.48</v>
      </c>
      <c r="Y49" s="58"/>
      <c r="Z49" s="388"/>
      <c r="AA49" s="388"/>
      <c r="AB49" s="383"/>
      <c r="AC49" s="387"/>
      <c r="AD49" s="424"/>
      <c r="AE49" s="388"/>
      <c r="AF49" s="383"/>
    </row>
    <row r="50" spans="2:32" x14ac:dyDescent="0.25">
      <c r="B50" s="43"/>
      <c r="C50" s="43"/>
      <c r="D50" s="44"/>
      <c r="E50" s="60"/>
      <c r="F50" s="60"/>
      <c r="G50" s="45">
        <f>SUM(G38:G49)</f>
        <v>0</v>
      </c>
      <c r="H50" s="45">
        <f t="shared" ref="H50:N50" si="22">SUM(H38:H49)</f>
        <v>0</v>
      </c>
      <c r="I50" s="45">
        <f t="shared" si="22"/>
        <v>709.92000000000007</v>
      </c>
      <c r="J50" s="45">
        <f t="shared" si="22"/>
        <v>23652.665000000001</v>
      </c>
      <c r="K50" s="389">
        <f t="shared" si="22"/>
        <v>328934.33280000003</v>
      </c>
      <c r="L50" s="45">
        <f t="shared" si="22"/>
        <v>0</v>
      </c>
      <c r="M50" s="45">
        <f t="shared" si="22"/>
        <v>0</v>
      </c>
      <c r="N50" s="45">
        <f t="shared" si="22"/>
        <v>0</v>
      </c>
      <c r="O50" s="45"/>
      <c r="P50" s="390">
        <f>SUM(P38:P49)</f>
        <v>63122</v>
      </c>
      <c r="Q50" s="391">
        <f>SUM(Q38:Q49)</f>
        <v>225407.27</v>
      </c>
      <c r="R50" s="427">
        <f>SUM(R38:R49)</f>
        <v>30168</v>
      </c>
      <c r="S50" s="394">
        <f>SUM(S38:S49)</f>
        <v>110783.22</v>
      </c>
      <c r="T50" s="45"/>
      <c r="U50" s="45">
        <f t="shared" ref="U50" si="23">SUM(U38:U49)</f>
        <v>505</v>
      </c>
      <c r="V50" s="45"/>
      <c r="W50" s="45"/>
      <c r="X50" s="389">
        <f t="shared" ref="X50" si="24">SUM(X38:X49)</f>
        <v>33451.200000000004</v>
      </c>
      <c r="Y50" s="46"/>
      <c r="Z50" s="45">
        <f>SUM(Z38:Z49)</f>
        <v>0</v>
      </c>
      <c r="AA50" s="45">
        <f>SUM(AA38:AA49)</f>
        <v>0</v>
      </c>
      <c r="AB50" s="391">
        <f>SUM(AB38:AB49)</f>
        <v>0</v>
      </c>
      <c r="AC50" s="395">
        <f>SUM(AC38:AC49)</f>
        <v>0</v>
      </c>
      <c r="AD50" s="46"/>
      <c r="AE50" s="46">
        <f>SUM(AE38:AE49)</f>
        <v>0</v>
      </c>
      <c r="AF50" s="394">
        <f t="shared" ref="AF50" si="25">SUM(AF38:AF49)</f>
        <v>0</v>
      </c>
    </row>
    <row r="51" spans="2:32" ht="15.75" x14ac:dyDescent="0.25">
      <c r="B51" s="396"/>
      <c r="C51" s="397"/>
      <c r="D51" s="398" t="s">
        <v>34</v>
      </c>
      <c r="G51" s="48">
        <v>0.15</v>
      </c>
      <c r="H51" s="49">
        <f>H50*(1+G51)</f>
        <v>0</v>
      </c>
      <c r="I51" s="49">
        <f>I50/3.6</f>
        <v>197.20000000000002</v>
      </c>
      <c r="J51" s="444" t="s">
        <v>213</v>
      </c>
      <c r="K51" s="399">
        <f>K50*(1+G51)</f>
        <v>378274.48272000003</v>
      </c>
      <c r="L51" s="50"/>
      <c r="M51" s="51"/>
      <c r="N51" s="49">
        <f>N50*(1+G51)</f>
        <v>0</v>
      </c>
      <c r="O51" s="42"/>
      <c r="P51" s="400">
        <v>0.21</v>
      </c>
      <c r="Q51" s="401">
        <f>Q50*(1+P51)</f>
        <v>272742.79670000001</v>
      </c>
      <c r="R51" s="402">
        <v>0.21</v>
      </c>
      <c r="S51" s="401">
        <f>S50*(1+R51)</f>
        <v>134047.69620000001</v>
      </c>
      <c r="T51" s="42"/>
      <c r="U51" s="48">
        <v>0.15</v>
      </c>
      <c r="V51" s="48"/>
      <c r="W51" s="48"/>
      <c r="X51" s="399">
        <f>X50*(1+U51)</f>
        <v>38468.880000000005</v>
      </c>
      <c r="Y51" s="42"/>
      <c r="Z51" s="48">
        <v>0.21</v>
      </c>
      <c r="AA51" s="42"/>
      <c r="AB51" s="401">
        <f>AB50*(1+Z51)</f>
        <v>0</v>
      </c>
      <c r="AC51" s="403">
        <v>0.21</v>
      </c>
      <c r="AD51" s="48"/>
      <c r="AE51" s="42"/>
      <c r="AF51" s="401">
        <f>AF50*(1+AC51)</f>
        <v>0</v>
      </c>
    </row>
    <row r="52" spans="2:32" ht="15.75" x14ac:dyDescent="0.25">
      <c r="B52" s="396"/>
      <c r="C52" s="397"/>
      <c r="D52" s="398"/>
      <c r="G52" s="404"/>
      <c r="H52" s="405"/>
      <c r="I52" s="405"/>
      <c r="J52" s="54"/>
      <c r="K52" s="405"/>
      <c r="L52" s="406"/>
      <c r="M52" s="54"/>
      <c r="N52" s="405"/>
      <c r="O52" s="411"/>
      <c r="P52" s="407"/>
      <c r="Q52" s="408"/>
      <c r="R52" s="409"/>
      <c r="S52" s="408"/>
      <c r="T52" s="411"/>
      <c r="U52" s="404"/>
      <c r="V52" s="404"/>
      <c r="W52" s="404"/>
      <c r="X52" s="405"/>
      <c r="Y52" s="411"/>
      <c r="Z52" s="404"/>
      <c r="AA52" s="411"/>
      <c r="AB52" s="408"/>
      <c r="AC52" s="412"/>
      <c r="AD52" s="404"/>
      <c r="AE52" s="411"/>
      <c r="AF52" s="408"/>
    </row>
    <row r="53" spans="2:32" ht="15.75" customHeight="1" outlineLevel="1" x14ac:dyDescent="0.25">
      <c r="B53" s="396"/>
      <c r="C53" s="397"/>
      <c r="D53" s="398"/>
      <c r="G53" s="404"/>
      <c r="H53" s="405"/>
      <c r="I53" s="405"/>
      <c r="J53" s="54"/>
      <c r="K53" s="405"/>
      <c r="L53" s="406"/>
      <c r="M53" s="54"/>
      <c r="N53" s="405"/>
      <c r="O53" s="411"/>
      <c r="P53" s="407"/>
      <c r="Q53" s="408"/>
      <c r="R53" s="409"/>
      <c r="S53" s="408"/>
      <c r="T53" s="411"/>
      <c r="U53" s="404"/>
      <c r="V53" s="404"/>
      <c r="W53" s="404"/>
      <c r="X53" s="405"/>
      <c r="Y53" s="411"/>
      <c r="Z53" s="404"/>
      <c r="AA53" s="411"/>
      <c r="AB53" s="408"/>
      <c r="AC53" s="412"/>
      <c r="AD53" s="404"/>
      <c r="AE53" s="411"/>
      <c r="AF53" s="408"/>
    </row>
    <row r="54" spans="2:32" ht="15.75" customHeight="1" outlineLevel="1" x14ac:dyDescent="0.25">
      <c r="B54" s="47">
        <f>B38+1</f>
        <v>2018</v>
      </c>
      <c r="D54" s="40" t="s">
        <v>18</v>
      </c>
      <c r="E54" s="376">
        <v>31</v>
      </c>
      <c r="F54" s="57"/>
      <c r="G54" s="377"/>
      <c r="H54" s="377"/>
      <c r="I54" s="428">
        <v>85.62</v>
      </c>
      <c r="J54" s="422">
        <v>2852.732</v>
      </c>
      <c r="K54" s="423">
        <f t="shared" ref="K54:K55" si="26">I54*463.34</f>
        <v>39671.1708</v>
      </c>
      <c r="L54" s="422"/>
      <c r="M54" s="422"/>
      <c r="N54" s="422"/>
      <c r="O54" s="66"/>
      <c r="P54" s="424">
        <v>10957</v>
      </c>
      <c r="Q54" s="520">
        <v>88337.04</v>
      </c>
      <c r="R54" s="426">
        <v>5537</v>
      </c>
      <c r="S54" s="504">
        <v>45938.01</v>
      </c>
      <c r="T54" s="58"/>
      <c r="U54" s="424">
        <v>54</v>
      </c>
      <c r="V54" s="388">
        <f>U54*29.86</f>
        <v>1612.44</v>
      </c>
      <c r="W54" s="388">
        <f>U54*36.38</f>
        <v>1964.5200000000002</v>
      </c>
      <c r="X54" s="423">
        <f>W54+V54</f>
        <v>3576.96</v>
      </c>
      <c r="Y54" s="59"/>
      <c r="Z54" s="388"/>
      <c r="AA54" s="388"/>
      <c r="AB54" s="383"/>
      <c r="AC54" s="387"/>
      <c r="AD54" s="424"/>
      <c r="AE54" s="388"/>
      <c r="AF54" s="430"/>
    </row>
    <row r="55" spans="2:32" ht="15" customHeight="1" outlineLevel="1" x14ac:dyDescent="0.25">
      <c r="D55" s="40" t="s">
        <v>19</v>
      </c>
      <c r="E55" s="376">
        <v>28</v>
      </c>
      <c r="F55" s="57"/>
      <c r="G55" s="377"/>
      <c r="H55" s="377"/>
      <c r="I55" s="428">
        <v>104.72</v>
      </c>
      <c r="J55" s="422">
        <v>3488.989</v>
      </c>
      <c r="K55" s="423">
        <f t="shared" si="26"/>
        <v>48520.964799999994</v>
      </c>
      <c r="L55" s="422"/>
      <c r="M55" s="422"/>
      <c r="N55" s="422"/>
      <c r="O55" s="66"/>
      <c r="P55" s="424">
        <v>4990</v>
      </c>
      <c r="Q55" s="521"/>
      <c r="R55" s="426">
        <v>2572</v>
      </c>
      <c r="S55" s="508"/>
      <c r="T55" s="58"/>
      <c r="U55" s="424">
        <v>31</v>
      </c>
      <c r="V55" s="388">
        <f t="shared" ref="V55:V60" si="27">U55*29.86</f>
        <v>925.66</v>
      </c>
      <c r="W55" s="388">
        <f t="shared" ref="W55:W60" si="28">U55*36.38</f>
        <v>1127.78</v>
      </c>
      <c r="X55" s="423">
        <f t="shared" ref="X55:X60" si="29">W55+V55</f>
        <v>2053.44</v>
      </c>
      <c r="Y55" s="58"/>
      <c r="Z55" s="388"/>
      <c r="AA55" s="388"/>
      <c r="AB55" s="383"/>
      <c r="AC55" s="387"/>
      <c r="AD55" s="424"/>
      <c r="AE55" s="388"/>
      <c r="AF55" s="430"/>
    </row>
    <row r="56" spans="2:32" ht="15" customHeight="1" outlineLevel="1" x14ac:dyDescent="0.25">
      <c r="D56" s="40" t="s">
        <v>20</v>
      </c>
      <c r="E56" s="376">
        <v>31</v>
      </c>
      <c r="F56" s="57"/>
      <c r="G56" s="377"/>
      <c r="H56" s="377"/>
      <c r="I56" s="428">
        <v>123.4</v>
      </c>
      <c r="J56" s="422">
        <v>4111.3490000000002</v>
      </c>
      <c r="K56" s="423">
        <f>I56*463.34</f>
        <v>57176.156000000003</v>
      </c>
      <c r="L56" s="422"/>
      <c r="M56" s="422"/>
      <c r="N56" s="422"/>
      <c r="O56" s="66"/>
      <c r="P56" s="504">
        <v>8563</v>
      </c>
      <c r="Q56" s="521"/>
      <c r="R56" s="510">
        <v>4172</v>
      </c>
      <c r="S56" s="508"/>
      <c r="T56" s="58"/>
      <c r="U56" s="424">
        <v>46</v>
      </c>
      <c r="V56" s="388">
        <f t="shared" si="27"/>
        <v>1373.56</v>
      </c>
      <c r="W56" s="388">
        <f t="shared" si="28"/>
        <v>1673.48</v>
      </c>
      <c r="X56" s="423">
        <f t="shared" si="29"/>
        <v>3047.04</v>
      </c>
      <c r="Y56" s="58"/>
      <c r="Z56" s="388"/>
      <c r="AA56" s="388"/>
      <c r="AB56" s="383"/>
      <c r="AC56" s="431"/>
      <c r="AD56" s="432"/>
      <c r="AE56" s="388"/>
      <c r="AF56" s="430"/>
    </row>
    <row r="57" spans="2:32" ht="15" customHeight="1" outlineLevel="1" x14ac:dyDescent="0.25">
      <c r="D57" s="40" t="s">
        <v>21</v>
      </c>
      <c r="E57" s="376">
        <v>30</v>
      </c>
      <c r="F57" s="57"/>
      <c r="G57" s="377"/>
      <c r="H57" s="377"/>
      <c r="I57" s="428">
        <v>34.770000000000003</v>
      </c>
      <c r="J57" s="422">
        <v>1158.364</v>
      </c>
      <c r="K57" s="423">
        <v>16110.33</v>
      </c>
      <c r="L57" s="422"/>
      <c r="M57" s="422"/>
      <c r="N57" s="422"/>
      <c r="O57" s="66"/>
      <c r="P57" s="505"/>
      <c r="Q57" s="522"/>
      <c r="R57" s="511"/>
      <c r="S57" s="505"/>
      <c r="T57" s="58"/>
      <c r="U57" s="424">
        <v>44</v>
      </c>
      <c r="V57" s="388">
        <f t="shared" si="27"/>
        <v>1313.84</v>
      </c>
      <c r="W57" s="388">
        <f t="shared" si="28"/>
        <v>1600.72</v>
      </c>
      <c r="X57" s="423">
        <f t="shared" si="29"/>
        <v>2914.56</v>
      </c>
      <c r="Y57" s="58"/>
      <c r="Z57" s="433"/>
      <c r="AA57" s="433"/>
      <c r="AB57" s="430"/>
      <c r="AC57" s="387"/>
      <c r="AD57" s="388"/>
      <c r="AE57" s="388"/>
      <c r="AF57" s="430"/>
    </row>
    <row r="58" spans="2:32" ht="15" customHeight="1" outlineLevel="1" x14ac:dyDescent="0.25">
      <c r="D58" s="40" t="s">
        <v>22</v>
      </c>
      <c r="E58" s="376">
        <v>31</v>
      </c>
      <c r="F58" s="57"/>
      <c r="G58" s="377"/>
      <c r="H58" s="377"/>
      <c r="I58" s="428">
        <v>0</v>
      </c>
      <c r="J58" s="422">
        <v>0</v>
      </c>
      <c r="K58" s="423">
        <v>0</v>
      </c>
      <c r="L58" s="422"/>
      <c r="M58" s="422"/>
      <c r="N58" s="422"/>
      <c r="O58" s="66"/>
      <c r="P58" s="424"/>
      <c r="Q58" s="436"/>
      <c r="R58" s="426"/>
      <c r="S58" s="388"/>
      <c r="T58" s="58"/>
      <c r="U58" s="424">
        <v>33</v>
      </c>
      <c r="V58" s="388">
        <f t="shared" si="27"/>
        <v>985.38</v>
      </c>
      <c r="W58" s="388">
        <f t="shared" si="28"/>
        <v>1200.5400000000002</v>
      </c>
      <c r="X58" s="423">
        <f t="shared" si="29"/>
        <v>2185.92</v>
      </c>
      <c r="Y58" s="58"/>
      <c r="Z58" s="388"/>
      <c r="AA58" s="388"/>
      <c r="AB58" s="430"/>
      <c r="AC58" s="387"/>
      <c r="AD58" s="388"/>
      <c r="AE58" s="388"/>
      <c r="AF58" s="430"/>
    </row>
    <row r="59" spans="2:32" ht="15" customHeight="1" outlineLevel="1" x14ac:dyDescent="0.25">
      <c r="D59" s="40" t="s">
        <v>23</v>
      </c>
      <c r="E59" s="376">
        <v>30</v>
      </c>
      <c r="F59" s="57"/>
      <c r="G59" s="377"/>
      <c r="H59" s="377"/>
      <c r="I59" s="428">
        <v>0</v>
      </c>
      <c r="J59" s="422">
        <v>0</v>
      </c>
      <c r="K59" s="423">
        <v>0</v>
      </c>
      <c r="L59" s="422"/>
      <c r="M59" s="422"/>
      <c r="N59" s="422"/>
      <c r="O59" s="66"/>
      <c r="P59" s="424"/>
      <c r="Q59" s="436"/>
      <c r="R59" s="426"/>
      <c r="S59" s="388"/>
      <c r="T59" s="58"/>
      <c r="U59" s="424">
        <v>66</v>
      </c>
      <c r="V59" s="388">
        <f t="shared" si="27"/>
        <v>1970.76</v>
      </c>
      <c r="W59" s="388">
        <f t="shared" si="28"/>
        <v>2401.0800000000004</v>
      </c>
      <c r="X59" s="423">
        <f t="shared" si="29"/>
        <v>4371.84</v>
      </c>
      <c r="Y59" s="58"/>
      <c r="Z59" s="388"/>
      <c r="AA59" s="388"/>
      <c r="AB59" s="430"/>
      <c r="AC59" s="387"/>
      <c r="AD59" s="388"/>
      <c r="AE59" s="388"/>
      <c r="AF59" s="430"/>
    </row>
    <row r="60" spans="2:32" ht="15" customHeight="1" outlineLevel="1" x14ac:dyDescent="0.25">
      <c r="D60" s="40" t="s">
        <v>24</v>
      </c>
      <c r="E60" s="376">
        <v>31</v>
      </c>
      <c r="F60" s="57"/>
      <c r="G60" s="377"/>
      <c r="H60" s="377"/>
      <c r="I60" s="428"/>
      <c r="J60" s="422"/>
      <c r="K60" s="423"/>
      <c r="L60" s="422"/>
      <c r="M60" s="422"/>
      <c r="N60" s="422"/>
      <c r="O60" s="66"/>
      <c r="P60" s="424"/>
      <c r="Q60" s="436"/>
      <c r="R60" s="426"/>
      <c r="S60" s="388"/>
      <c r="T60" s="58"/>
      <c r="U60" s="424">
        <v>52</v>
      </c>
      <c r="V60" s="388">
        <f t="shared" si="27"/>
        <v>1552.72</v>
      </c>
      <c r="W60" s="388">
        <f t="shared" si="28"/>
        <v>1891.7600000000002</v>
      </c>
      <c r="X60" s="423">
        <f t="shared" si="29"/>
        <v>3444.4800000000005</v>
      </c>
      <c r="Y60" s="58"/>
      <c r="Z60" s="388"/>
      <c r="AA60" s="388"/>
      <c r="AB60" s="430"/>
      <c r="AC60" s="387"/>
      <c r="AD60" s="388"/>
      <c r="AE60" s="388"/>
      <c r="AF60" s="430"/>
    </row>
    <row r="61" spans="2:32" ht="15" customHeight="1" outlineLevel="1" x14ac:dyDescent="0.25">
      <c r="D61" s="40" t="s">
        <v>25</v>
      </c>
      <c r="E61" s="376">
        <v>31</v>
      </c>
      <c r="F61" s="57"/>
      <c r="G61" s="377"/>
      <c r="H61" s="377"/>
      <c r="I61" s="428"/>
      <c r="J61" s="422"/>
      <c r="K61" s="423"/>
      <c r="L61" s="422"/>
      <c r="M61" s="422"/>
      <c r="N61" s="422"/>
      <c r="O61" s="66"/>
      <c r="P61" s="424"/>
      <c r="Q61" s="436"/>
      <c r="R61" s="426"/>
      <c r="S61" s="388"/>
      <c r="T61" s="58"/>
      <c r="U61" s="424"/>
      <c r="V61" s="388"/>
      <c r="W61" s="388"/>
      <c r="X61" s="383"/>
      <c r="Y61" s="58"/>
      <c r="Z61" s="388"/>
      <c r="AA61" s="388"/>
      <c r="AB61" s="430"/>
      <c r="AC61" s="387"/>
      <c r="AD61" s="388"/>
      <c r="AE61" s="388"/>
      <c r="AF61" s="430"/>
    </row>
    <row r="62" spans="2:32" ht="15" customHeight="1" outlineLevel="1" x14ac:dyDescent="0.25">
      <c r="D62" s="40" t="s">
        <v>26</v>
      </c>
      <c r="E62" s="376">
        <v>30</v>
      </c>
      <c r="F62" s="57"/>
      <c r="G62" s="377"/>
      <c r="H62" s="377"/>
      <c r="I62" s="428"/>
      <c r="J62" s="422"/>
      <c r="K62" s="423"/>
      <c r="L62" s="422"/>
      <c r="M62" s="422"/>
      <c r="N62" s="422"/>
      <c r="O62" s="66"/>
      <c r="P62" s="424"/>
      <c r="Q62" s="436"/>
      <c r="R62" s="426"/>
      <c r="S62" s="388"/>
      <c r="T62" s="58"/>
      <c r="U62" s="424"/>
      <c r="V62" s="388"/>
      <c r="W62" s="388"/>
      <c r="X62" s="383"/>
      <c r="Y62" s="58"/>
      <c r="Z62" s="388"/>
      <c r="AA62" s="388"/>
      <c r="AB62" s="430"/>
      <c r="AC62" s="387"/>
      <c r="AD62" s="388"/>
      <c r="AE62" s="388"/>
      <c r="AF62" s="430"/>
    </row>
    <row r="63" spans="2:32" ht="15" customHeight="1" outlineLevel="1" x14ac:dyDescent="0.25">
      <c r="D63" s="40" t="s">
        <v>27</v>
      </c>
      <c r="E63" s="376">
        <v>31</v>
      </c>
      <c r="F63" s="57"/>
      <c r="G63" s="377"/>
      <c r="H63" s="377"/>
      <c r="I63" s="428"/>
      <c r="J63" s="422"/>
      <c r="K63" s="423"/>
      <c r="L63" s="422"/>
      <c r="M63" s="422"/>
      <c r="N63" s="422"/>
      <c r="O63" s="66"/>
      <c r="P63" s="424"/>
      <c r="Q63" s="436"/>
      <c r="R63" s="426"/>
      <c r="S63" s="388"/>
      <c r="T63" s="58"/>
      <c r="U63" s="424"/>
      <c r="V63" s="388"/>
      <c r="W63" s="388"/>
      <c r="X63" s="383"/>
      <c r="Y63" s="58"/>
      <c r="Z63" s="388"/>
      <c r="AA63" s="388"/>
      <c r="AB63" s="430"/>
      <c r="AC63" s="387"/>
      <c r="AD63" s="388"/>
      <c r="AE63" s="388"/>
      <c r="AF63" s="430"/>
    </row>
    <row r="64" spans="2:32" ht="15" customHeight="1" outlineLevel="1" x14ac:dyDescent="0.25">
      <c r="D64" s="40" t="s">
        <v>28</v>
      </c>
      <c r="E64" s="376">
        <v>30</v>
      </c>
      <c r="F64" s="57"/>
      <c r="G64" s="377"/>
      <c r="H64" s="377"/>
      <c r="I64" s="428"/>
      <c r="J64" s="422"/>
      <c r="K64" s="423"/>
      <c r="L64" s="422"/>
      <c r="M64" s="422"/>
      <c r="N64" s="422"/>
      <c r="O64" s="66"/>
      <c r="P64" s="424"/>
      <c r="Q64" s="436"/>
      <c r="R64" s="426"/>
      <c r="S64" s="388"/>
      <c r="T64" s="58"/>
      <c r="U64" s="424"/>
      <c r="V64" s="388"/>
      <c r="W64" s="388"/>
      <c r="X64" s="383"/>
      <c r="Y64" s="58"/>
      <c r="Z64" s="388"/>
      <c r="AA64" s="388"/>
      <c r="AB64" s="430"/>
      <c r="AC64" s="387"/>
      <c r="AD64" s="388"/>
      <c r="AE64" s="388"/>
      <c r="AF64" s="430"/>
    </row>
    <row r="65" spans="1:32" ht="15" customHeight="1" outlineLevel="1" x14ac:dyDescent="0.25">
      <c r="D65" s="40" t="s">
        <v>29</v>
      </c>
      <c r="E65" s="376">
        <v>31</v>
      </c>
      <c r="F65" s="57"/>
      <c r="G65" s="377"/>
      <c r="H65" s="377"/>
      <c r="I65" s="428"/>
      <c r="J65" s="422"/>
      <c r="K65" s="423"/>
      <c r="L65" s="422"/>
      <c r="M65" s="422"/>
      <c r="N65" s="422"/>
      <c r="O65" s="66"/>
      <c r="P65" s="424"/>
      <c r="Q65" s="436"/>
      <c r="R65" s="426"/>
      <c r="S65" s="388"/>
      <c r="T65" s="41"/>
      <c r="U65" s="424"/>
      <c r="V65" s="388"/>
      <c r="W65" s="388"/>
      <c r="X65" s="383"/>
      <c r="Y65" s="58"/>
      <c r="Z65" s="388"/>
      <c r="AA65" s="388"/>
      <c r="AB65" s="430"/>
      <c r="AC65" s="387"/>
      <c r="AD65" s="388"/>
      <c r="AE65" s="388"/>
      <c r="AF65" s="430"/>
    </row>
    <row r="66" spans="1:32" ht="15" customHeight="1" outlineLevel="1" x14ac:dyDescent="0.25">
      <c r="B66" s="43"/>
      <c r="C66" s="43"/>
      <c r="D66" s="44"/>
      <c r="E66" s="60"/>
      <c r="F66" s="60"/>
      <c r="G66" s="45">
        <f>SUM(G54:G65)</f>
        <v>0</v>
      </c>
      <c r="H66" s="45">
        <f t="shared" ref="H66:N66" si="30">SUM(H54:H65)</f>
        <v>0</v>
      </c>
      <c r="I66" s="45">
        <f t="shared" si="30"/>
        <v>348.51</v>
      </c>
      <c r="J66" s="45">
        <f t="shared" si="30"/>
        <v>11611.433999999999</v>
      </c>
      <c r="K66" s="389">
        <f t="shared" si="30"/>
        <v>161478.62159999998</v>
      </c>
      <c r="L66" s="45">
        <f t="shared" si="30"/>
        <v>0</v>
      </c>
      <c r="M66" s="45">
        <f t="shared" si="30"/>
        <v>0</v>
      </c>
      <c r="N66" s="45">
        <f t="shared" si="30"/>
        <v>0</v>
      </c>
      <c r="O66" s="45"/>
      <c r="P66" s="390">
        <f>SUM(P54:P65)</f>
        <v>24510</v>
      </c>
      <c r="Q66" s="391">
        <f>SUM(Q54:Q65)</f>
        <v>88337.04</v>
      </c>
      <c r="R66" s="390">
        <f>SUM(R54:R65)</f>
        <v>12281</v>
      </c>
      <c r="S66" s="394">
        <f>SUM(S54:S65)</f>
        <v>45938.01</v>
      </c>
      <c r="T66" s="45"/>
      <c r="U66" s="45">
        <f t="shared" ref="U66" si="31">SUM(U54:U65)</f>
        <v>326</v>
      </c>
      <c r="V66" s="45"/>
      <c r="W66" s="45"/>
      <c r="X66" s="389">
        <f t="shared" ref="X66" si="32">SUM(X54:X65)</f>
        <v>21594.239999999998</v>
      </c>
      <c r="Y66" s="46"/>
      <c r="Z66" s="45"/>
      <c r="AA66" s="45">
        <f>SUM(AA54:AA65)</f>
        <v>0</v>
      </c>
      <c r="AB66" s="391">
        <f t="shared" ref="AB66" si="33">SUM(AB54:AB65)</f>
        <v>0</v>
      </c>
      <c r="AC66" s="45"/>
      <c r="AD66" s="45">
        <f>SUM(AD54:AD65)</f>
        <v>0</v>
      </c>
      <c r="AE66" s="45">
        <f>SUM(AE54:AE65)</f>
        <v>0</v>
      </c>
      <c r="AF66" s="391">
        <f t="shared" ref="AF66" si="34">SUM(AF54:AF65)</f>
        <v>0</v>
      </c>
    </row>
    <row r="67" spans="1:32" ht="15.75" customHeight="1" outlineLevel="1" x14ac:dyDescent="0.25">
      <c r="B67" s="396"/>
      <c r="C67" s="397"/>
      <c r="D67" s="398" t="s">
        <v>34</v>
      </c>
      <c r="G67" s="48">
        <v>0.15</v>
      </c>
      <c r="H67" s="49">
        <f>H66*(1+G67)</f>
        <v>0</v>
      </c>
      <c r="I67" s="49">
        <f>I66/3.6</f>
        <v>96.808333333333323</v>
      </c>
      <c r="J67" s="444" t="s">
        <v>213</v>
      </c>
      <c r="K67" s="399">
        <f>K66*(1+G67)</f>
        <v>185700.41483999995</v>
      </c>
      <c r="L67" s="50"/>
      <c r="M67" s="51"/>
      <c r="N67" s="49">
        <f>N66*(1+G67)</f>
        <v>0</v>
      </c>
      <c r="O67" s="42"/>
      <c r="P67" s="400">
        <v>0.21</v>
      </c>
      <c r="Q67" s="401">
        <f>Q66*(1+P67)</f>
        <v>106887.81839999999</v>
      </c>
      <c r="R67" s="400">
        <v>0.21</v>
      </c>
      <c r="S67" s="401">
        <f>S66*(1+R67)</f>
        <v>55584.992100000003</v>
      </c>
      <c r="T67" s="42"/>
      <c r="U67" s="48">
        <v>0.15</v>
      </c>
      <c r="V67" s="48"/>
      <c r="W67" s="48"/>
      <c r="X67" s="399">
        <f>X66*(1+U67)</f>
        <v>24833.375999999997</v>
      </c>
      <c r="Y67" s="42"/>
      <c r="Z67" s="48">
        <v>0.21</v>
      </c>
      <c r="AA67" s="42"/>
      <c r="AB67" s="401">
        <f>AB66*(1+Z67)</f>
        <v>0</v>
      </c>
      <c r="AC67" s="48">
        <v>0.21</v>
      </c>
      <c r="AD67" s="48"/>
      <c r="AE67" s="42"/>
      <c r="AF67" s="401">
        <f>AF66*(1+AC67)</f>
        <v>0</v>
      </c>
    </row>
    <row r="68" spans="1:32" x14ac:dyDescent="0.25">
      <c r="S68" s="363"/>
    </row>
    <row r="69" spans="1:32" x14ac:dyDescent="0.25">
      <c r="B69" s="33" t="s">
        <v>35</v>
      </c>
      <c r="I69" s="32" t="s">
        <v>195</v>
      </c>
      <c r="K69" s="425">
        <v>102048793</v>
      </c>
      <c r="P69" s="439" t="s">
        <v>196</v>
      </c>
      <c r="Q69" s="362" t="s">
        <v>214</v>
      </c>
      <c r="R69" s="361" t="s">
        <v>196</v>
      </c>
      <c r="T69" s="67"/>
      <c r="U69" s="35"/>
      <c r="V69" s="35"/>
      <c r="W69" s="35"/>
      <c r="X69" s="35"/>
      <c r="Y69" s="67"/>
      <c r="Z69" s="35"/>
      <c r="AA69" s="35"/>
      <c r="AB69" s="440"/>
      <c r="AC69" s="35"/>
      <c r="AD69" s="35"/>
      <c r="AE69" s="35"/>
      <c r="AF69" s="440"/>
    </row>
    <row r="70" spans="1:32" x14ac:dyDescent="0.25">
      <c r="B70" s="68"/>
      <c r="P70" s="439" t="s">
        <v>199</v>
      </c>
      <c r="Q70" s="362" t="s">
        <v>215</v>
      </c>
      <c r="R70" s="361" t="s">
        <v>199</v>
      </c>
      <c r="S70" s="362" t="s">
        <v>216</v>
      </c>
      <c r="U70" s="32" t="s">
        <v>202</v>
      </c>
      <c r="V70" s="32" t="s">
        <v>217</v>
      </c>
      <c r="X70" s="32" t="s">
        <v>218</v>
      </c>
      <c r="Z70" s="32" t="s">
        <v>204</v>
      </c>
      <c r="AB70" s="441"/>
      <c r="AC70" s="32" t="s">
        <v>204</v>
      </c>
    </row>
    <row r="71" spans="1:32" x14ac:dyDescent="0.25">
      <c r="B71" s="68"/>
      <c r="U71" s="32" t="s">
        <v>206</v>
      </c>
      <c r="X71" s="439" t="s">
        <v>219</v>
      </c>
      <c r="AB71" s="442"/>
    </row>
    <row r="72" spans="1:32" x14ac:dyDescent="0.25">
      <c r="B72" s="68"/>
    </row>
    <row r="73" spans="1:32" x14ac:dyDescent="0.25">
      <c r="A73" s="68"/>
      <c r="B73" s="68"/>
      <c r="I73" s="450"/>
      <c r="J73" s="450"/>
      <c r="K73" s="451"/>
    </row>
    <row r="74" spans="1:32" x14ac:dyDescent="0.25">
      <c r="B74" s="68"/>
      <c r="I74" s="450"/>
      <c r="J74" s="450"/>
      <c r="K74" s="451"/>
    </row>
    <row r="75" spans="1:32" x14ac:dyDescent="0.25">
      <c r="B75" s="69"/>
      <c r="I75" s="450"/>
      <c r="J75" s="450"/>
      <c r="K75" s="451"/>
    </row>
    <row r="76" spans="1:32" x14ac:dyDescent="0.25">
      <c r="B76" s="69"/>
      <c r="I76" s="450"/>
      <c r="J76" s="450"/>
      <c r="K76" s="451"/>
    </row>
    <row r="77" spans="1:32" x14ac:dyDescent="0.25">
      <c r="B77" s="69"/>
      <c r="I77" s="450"/>
      <c r="J77" s="450"/>
      <c r="K77" s="451"/>
    </row>
    <row r="78" spans="1:32" x14ac:dyDescent="0.25">
      <c r="B78" s="69"/>
      <c r="I78" s="450"/>
      <c r="J78" s="450"/>
      <c r="K78" s="451"/>
    </row>
    <row r="79" spans="1:32" x14ac:dyDescent="0.25">
      <c r="B79" s="69"/>
      <c r="I79" s="450"/>
      <c r="J79" s="450"/>
      <c r="K79" s="451"/>
    </row>
    <row r="80" spans="1:32" x14ac:dyDescent="0.25">
      <c r="I80" s="59"/>
      <c r="J80" s="59"/>
      <c r="K80" s="452"/>
      <c r="L80" s="34"/>
      <c r="M80" s="34"/>
      <c r="N80" s="34"/>
      <c r="P80" s="374"/>
    </row>
    <row r="81" spans="7:16" x14ac:dyDescent="0.25">
      <c r="I81" s="46"/>
      <c r="J81" s="453"/>
      <c r="K81" s="453"/>
      <c r="L81" s="34"/>
      <c r="M81" s="34"/>
      <c r="N81" s="34"/>
      <c r="P81" s="374"/>
    </row>
    <row r="82" spans="7:16" x14ac:dyDescent="0.25">
      <c r="I82" s="34"/>
      <c r="J82" s="34"/>
      <c r="K82" s="34"/>
      <c r="L82" s="34"/>
      <c r="M82" s="34"/>
      <c r="N82" s="34"/>
      <c r="P82" s="374"/>
    </row>
    <row r="83" spans="7:16" x14ac:dyDescent="0.25">
      <c r="I83" s="34"/>
      <c r="J83" s="34"/>
      <c r="K83" s="34"/>
      <c r="L83" s="34"/>
      <c r="M83" s="34"/>
      <c r="N83" s="34"/>
      <c r="P83" s="374"/>
    </row>
    <row r="85" spans="7:16" x14ac:dyDescent="0.25">
      <c r="I85" s="450"/>
      <c r="K85" s="451"/>
    </row>
    <row r="86" spans="7:16" x14ac:dyDescent="0.25">
      <c r="I86" s="450"/>
      <c r="K86" s="451"/>
    </row>
    <row r="87" spans="7:16" x14ac:dyDescent="0.25">
      <c r="I87" s="450"/>
      <c r="K87" s="451"/>
    </row>
    <row r="88" spans="7:16" x14ac:dyDescent="0.25">
      <c r="I88" s="450"/>
      <c r="K88" s="451"/>
    </row>
    <row r="89" spans="7:16" x14ac:dyDescent="0.25">
      <c r="I89" s="450"/>
      <c r="K89" s="451"/>
    </row>
    <row r="90" spans="7:16" x14ac:dyDescent="0.25">
      <c r="I90" s="450"/>
      <c r="K90" s="451"/>
    </row>
    <row r="91" spans="7:16" x14ac:dyDescent="0.25">
      <c r="I91" s="450"/>
      <c r="K91" s="451"/>
    </row>
    <row r="92" spans="7:16" x14ac:dyDescent="0.25">
      <c r="I92" s="450"/>
      <c r="K92" s="451"/>
    </row>
    <row r="93" spans="7:16" x14ac:dyDescent="0.25">
      <c r="I93" s="450"/>
      <c r="K93" s="451"/>
    </row>
    <row r="94" spans="7:16" x14ac:dyDescent="0.25">
      <c r="G94" s="34"/>
      <c r="H94" s="34"/>
      <c r="I94" s="59"/>
      <c r="J94" s="34"/>
      <c r="K94" s="452"/>
      <c r="L94" s="34"/>
      <c r="M94" s="34"/>
      <c r="N94" s="34"/>
      <c r="P94" s="374"/>
    </row>
    <row r="95" spans="7:16" x14ac:dyDescent="0.25">
      <c r="G95" s="34"/>
      <c r="H95" s="34"/>
      <c r="I95" s="46"/>
      <c r="J95" s="453"/>
      <c r="K95" s="453"/>
      <c r="L95" s="34"/>
      <c r="M95" s="34"/>
      <c r="N95" s="34"/>
      <c r="P95" s="374"/>
    </row>
    <row r="96" spans="7:16" x14ac:dyDescent="0.25">
      <c r="G96" s="34"/>
      <c r="H96" s="34"/>
      <c r="I96" s="59"/>
      <c r="J96" s="34"/>
      <c r="K96" s="34"/>
      <c r="L96" s="34"/>
      <c r="M96" s="34"/>
      <c r="N96" s="34"/>
      <c r="P96" s="374"/>
    </row>
  </sheetData>
  <mergeCells count="46">
    <mergeCell ref="P9:P17"/>
    <mergeCell ref="Q9:Q17"/>
    <mergeCell ref="R9:R17"/>
    <mergeCell ref="S9:S17"/>
    <mergeCell ref="AC2:AF2"/>
    <mergeCell ref="U3:X3"/>
    <mergeCell ref="Z3:AB3"/>
    <mergeCell ref="AC3:AF3"/>
    <mergeCell ref="P2:Q2"/>
    <mergeCell ref="R2:S2"/>
    <mergeCell ref="U2:X2"/>
    <mergeCell ref="Z2:AB2"/>
    <mergeCell ref="P3:Q3"/>
    <mergeCell ref="R3:S3"/>
    <mergeCell ref="B4:C5"/>
    <mergeCell ref="P6:P8"/>
    <mergeCell ref="Q6:Q8"/>
    <mergeCell ref="R6:R8"/>
    <mergeCell ref="S6:S8"/>
    <mergeCell ref="D2:D4"/>
    <mergeCell ref="G2:N2"/>
    <mergeCell ref="G3:H3"/>
    <mergeCell ref="I3:K3"/>
    <mergeCell ref="L3:N3"/>
    <mergeCell ref="P22:P25"/>
    <mergeCell ref="Q22:Q25"/>
    <mergeCell ref="R22:R25"/>
    <mergeCell ref="S22:S25"/>
    <mergeCell ref="P26:P28"/>
    <mergeCell ref="Q26:Q33"/>
    <mergeCell ref="R26:R28"/>
    <mergeCell ref="S26:S33"/>
    <mergeCell ref="P30:P33"/>
    <mergeCell ref="R31:R33"/>
    <mergeCell ref="Q54:Q57"/>
    <mergeCell ref="S54:S57"/>
    <mergeCell ref="P56:P57"/>
    <mergeCell ref="R56:R57"/>
    <mergeCell ref="P38:P41"/>
    <mergeCell ref="Q38:Q41"/>
    <mergeCell ref="Q42:Q49"/>
    <mergeCell ref="S42:S49"/>
    <mergeCell ref="R43:R44"/>
    <mergeCell ref="R48:R49"/>
    <mergeCell ref="R38:R41"/>
    <mergeCell ref="S38:S41"/>
  </mergeCells>
  <conditionalFormatting sqref="G6:G17 G22:G33 G38:G49 I6:I17 I22:I33 I38:I49 L38:L49 L22:L33 L6:L17">
    <cfRule type="cellIs" dxfId="60" priority="10" operator="greaterThan">
      <formula>0</formula>
    </cfRule>
  </conditionalFormatting>
  <conditionalFormatting sqref="G54:G65 I54:I65 L54:L65">
    <cfRule type="cellIs" dxfId="59" priority="9" operator="greaterThan">
      <formula>0</formula>
    </cfRule>
  </conditionalFormatting>
  <conditionalFormatting sqref="P54:P56 P58:P65">
    <cfRule type="cellIs" dxfId="58" priority="8" operator="greaterThan">
      <formula>0</formula>
    </cfRule>
  </conditionalFormatting>
  <conditionalFormatting sqref="Z6:AA17 Z22:AA33 Z38 Z41 Z43">
    <cfRule type="cellIs" dxfId="57" priority="7" operator="greaterThan">
      <formula>0</formula>
    </cfRule>
  </conditionalFormatting>
  <conditionalFormatting sqref="R54">
    <cfRule type="cellIs" dxfId="56" priority="6" operator="greaterThan">
      <formula>0</formula>
    </cfRule>
  </conditionalFormatting>
  <conditionalFormatting sqref="P6:P17 R6 P22:P33 R22 P38:P49 R38 P54:P65 R54:R56 R45:R48 R29:R31 R9 R26 R58:R65 R42:R43">
    <cfRule type="cellIs" dxfId="55" priority="5" operator="greaterThan">
      <formula>0</formula>
    </cfRule>
  </conditionalFormatting>
  <conditionalFormatting sqref="U6:U17 U22:U33 U38:U49 U54:U65">
    <cfRule type="cellIs" dxfId="54" priority="4" operator="greaterThan">
      <formula>0</formula>
    </cfRule>
  </conditionalFormatting>
  <conditionalFormatting sqref="AA38">
    <cfRule type="cellIs" dxfId="53" priority="3" operator="greaterThan">
      <formula>0</formula>
    </cfRule>
  </conditionalFormatting>
  <conditionalFormatting sqref="AA41">
    <cfRule type="cellIs" dxfId="52" priority="2" operator="greaterThan">
      <formula>0</formula>
    </cfRule>
  </conditionalFormatting>
  <conditionalFormatting sqref="AA43">
    <cfRule type="cellIs" dxfId="51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M79"/>
  <sheetViews>
    <sheetView zoomScale="85" zoomScaleNormal="85" workbookViewId="0">
      <pane xSplit="5" ySplit="5" topLeftCell="N34" activePane="bottomRight" state="frozen"/>
      <selection activeCell="AA23" sqref="AA23:AA33"/>
      <selection pane="topRight" activeCell="AA23" sqref="AA23:AA33"/>
      <selection pane="bottomLeft" activeCell="AA23" sqref="AA23:AA33"/>
      <selection pane="bottomRight" activeCell="AA22" sqref="AA22:AA33"/>
    </sheetView>
  </sheetViews>
  <sheetFormatPr defaultColWidth="10.140625" defaultRowHeight="15" outlineLevelRow="1" outlineLevelCol="2" x14ac:dyDescent="0.25"/>
  <cols>
    <col min="1" max="1" width="1" style="32" customWidth="1"/>
    <col min="2" max="2" width="12" style="32" customWidth="1"/>
    <col min="3" max="3" width="10.140625" style="32" customWidth="1"/>
    <col min="4" max="4" width="14" style="32" customWidth="1"/>
    <col min="5" max="5" width="5" style="360" customWidth="1"/>
    <col min="6" max="6" width="3.140625" style="34" hidden="1" customWidth="1" outlineLevel="1"/>
    <col min="7" max="10" width="11.5703125" style="32" hidden="1" customWidth="1" outlineLevel="2"/>
    <col min="11" max="12" width="10" style="32" hidden="1" customWidth="1" outlineLevel="2"/>
    <col min="13" max="13" width="10" style="32" hidden="1" customWidth="1" outlineLevel="1" collapsed="1"/>
    <col min="14" max="14" width="3.7109375" style="34" customWidth="1" collapsed="1"/>
    <col min="15" max="15" width="12.7109375" style="361" customWidth="1"/>
    <col min="16" max="16" width="22.85546875" style="32" hidden="1" customWidth="1" outlineLevel="1"/>
    <col min="17" max="17" width="12" style="362" customWidth="1" collapsed="1"/>
    <col min="18" max="19" width="12.7109375" style="361" customWidth="1"/>
    <col min="20" max="20" width="12.7109375" style="361" hidden="1" customWidth="1" outlineLevel="1"/>
    <col min="21" max="21" width="11.85546875" style="362" customWidth="1" collapsed="1"/>
    <col min="22" max="22" width="3.7109375" style="34" customWidth="1"/>
    <col min="23" max="23" width="14" style="32" customWidth="1"/>
    <col min="24" max="25" width="7.7109375" style="32" customWidth="1" outlineLevel="1"/>
    <col min="26" max="27" width="14" style="32" customWidth="1"/>
    <col min="28" max="29" width="7.7109375" style="32" customWidth="1" outlineLevel="1"/>
    <col min="30" max="30" width="14" style="32" customWidth="1"/>
    <col min="31" max="31" width="3.7109375" style="34" customWidth="1"/>
    <col min="32" max="32" width="10.140625" style="32"/>
    <col min="33" max="33" width="10.140625" style="32" hidden="1" customWidth="1" outlineLevel="1"/>
    <col min="34" max="34" width="10.140625" style="32" collapsed="1"/>
    <col min="35" max="35" width="11.7109375" style="362" customWidth="1"/>
    <col min="36" max="36" width="10.140625" style="32"/>
    <col min="37" max="37" width="10.140625" style="32" hidden="1" customWidth="1" outlineLevel="1"/>
    <col min="38" max="38" width="10.140625" style="32" collapsed="1"/>
    <col min="39" max="39" width="10.140625" style="362" customWidth="1"/>
    <col min="40" max="276" width="10.140625" style="32"/>
    <col min="277" max="289" width="14" style="32" customWidth="1"/>
    <col min="290" max="532" width="10.140625" style="32"/>
    <col min="533" max="545" width="14" style="32" customWidth="1"/>
    <col min="546" max="788" width="10.140625" style="32"/>
    <col min="789" max="801" width="14" style="32" customWidth="1"/>
    <col min="802" max="1044" width="10.140625" style="32"/>
    <col min="1045" max="1057" width="14" style="32" customWidth="1"/>
    <col min="1058" max="1300" width="10.140625" style="32"/>
    <col min="1301" max="1313" width="14" style="32" customWidth="1"/>
    <col min="1314" max="1556" width="10.140625" style="32"/>
    <col min="1557" max="1569" width="14" style="32" customWidth="1"/>
    <col min="1570" max="1812" width="10.140625" style="32"/>
    <col min="1813" max="1825" width="14" style="32" customWidth="1"/>
    <col min="1826" max="2068" width="10.140625" style="32"/>
    <col min="2069" max="2081" width="14" style="32" customWidth="1"/>
    <col min="2082" max="2324" width="10.140625" style="32"/>
    <col min="2325" max="2337" width="14" style="32" customWidth="1"/>
    <col min="2338" max="2580" width="10.140625" style="32"/>
    <col min="2581" max="2593" width="14" style="32" customWidth="1"/>
    <col min="2594" max="2836" width="10.140625" style="32"/>
    <col min="2837" max="2849" width="14" style="32" customWidth="1"/>
    <col min="2850" max="3092" width="10.140625" style="32"/>
    <col min="3093" max="3105" width="14" style="32" customWidth="1"/>
    <col min="3106" max="3348" width="10.140625" style="32"/>
    <col min="3349" max="3361" width="14" style="32" customWidth="1"/>
    <col min="3362" max="3604" width="10.140625" style="32"/>
    <col min="3605" max="3617" width="14" style="32" customWidth="1"/>
    <col min="3618" max="3860" width="10.140625" style="32"/>
    <col min="3861" max="3873" width="14" style="32" customWidth="1"/>
    <col min="3874" max="4116" width="10.140625" style="32"/>
    <col min="4117" max="4129" width="14" style="32" customWidth="1"/>
    <col min="4130" max="4372" width="10.140625" style="32"/>
    <col min="4373" max="4385" width="14" style="32" customWidth="1"/>
    <col min="4386" max="4628" width="10.140625" style="32"/>
    <col min="4629" max="4641" width="14" style="32" customWidth="1"/>
    <col min="4642" max="4884" width="10.140625" style="32"/>
    <col min="4885" max="4897" width="14" style="32" customWidth="1"/>
    <col min="4898" max="5140" width="10.140625" style="32"/>
    <col min="5141" max="5153" width="14" style="32" customWidth="1"/>
    <col min="5154" max="5396" width="10.140625" style="32"/>
    <col min="5397" max="5409" width="14" style="32" customWidth="1"/>
    <col min="5410" max="5652" width="10.140625" style="32"/>
    <col min="5653" max="5665" width="14" style="32" customWidth="1"/>
    <col min="5666" max="5908" width="10.140625" style="32"/>
    <col min="5909" max="5921" width="14" style="32" customWidth="1"/>
    <col min="5922" max="6164" width="10.140625" style="32"/>
    <col min="6165" max="6177" width="14" style="32" customWidth="1"/>
    <col min="6178" max="6420" width="10.140625" style="32"/>
    <col min="6421" max="6433" width="14" style="32" customWidth="1"/>
    <col min="6434" max="6676" width="10.140625" style="32"/>
    <col min="6677" max="6689" width="14" style="32" customWidth="1"/>
    <col min="6690" max="6932" width="10.140625" style="32"/>
    <col min="6933" max="6945" width="14" style="32" customWidth="1"/>
    <col min="6946" max="7188" width="10.140625" style="32"/>
    <col min="7189" max="7201" width="14" style="32" customWidth="1"/>
    <col min="7202" max="7444" width="10.140625" style="32"/>
    <col min="7445" max="7457" width="14" style="32" customWidth="1"/>
    <col min="7458" max="7700" width="10.140625" style="32"/>
    <col min="7701" max="7713" width="14" style="32" customWidth="1"/>
    <col min="7714" max="7956" width="10.140625" style="32"/>
    <col min="7957" max="7969" width="14" style="32" customWidth="1"/>
    <col min="7970" max="8212" width="10.140625" style="32"/>
    <col min="8213" max="8225" width="14" style="32" customWidth="1"/>
    <col min="8226" max="8468" width="10.140625" style="32"/>
    <col min="8469" max="8481" width="14" style="32" customWidth="1"/>
    <col min="8482" max="8724" width="10.140625" style="32"/>
    <col min="8725" max="8737" width="14" style="32" customWidth="1"/>
    <col min="8738" max="8980" width="10.140625" style="32"/>
    <col min="8981" max="8993" width="14" style="32" customWidth="1"/>
    <col min="8994" max="9236" width="10.140625" style="32"/>
    <col min="9237" max="9249" width="14" style="32" customWidth="1"/>
    <col min="9250" max="9492" width="10.140625" style="32"/>
    <col min="9493" max="9505" width="14" style="32" customWidth="1"/>
    <col min="9506" max="9748" width="10.140625" style="32"/>
    <col min="9749" max="9761" width="14" style="32" customWidth="1"/>
    <col min="9762" max="10004" width="10.140625" style="32"/>
    <col min="10005" max="10017" width="14" style="32" customWidth="1"/>
    <col min="10018" max="10260" width="10.140625" style="32"/>
    <col min="10261" max="10273" width="14" style="32" customWidth="1"/>
    <col min="10274" max="10516" width="10.140625" style="32"/>
    <col min="10517" max="10529" width="14" style="32" customWidth="1"/>
    <col min="10530" max="10772" width="10.140625" style="32"/>
    <col min="10773" max="10785" width="14" style="32" customWidth="1"/>
    <col min="10786" max="11028" width="10.140625" style="32"/>
    <col min="11029" max="11041" width="14" style="32" customWidth="1"/>
    <col min="11042" max="11284" width="10.140625" style="32"/>
    <col min="11285" max="11297" width="14" style="32" customWidth="1"/>
    <col min="11298" max="11540" width="10.140625" style="32"/>
    <col min="11541" max="11553" width="14" style="32" customWidth="1"/>
    <col min="11554" max="11796" width="10.140625" style="32"/>
    <col min="11797" max="11809" width="14" style="32" customWidth="1"/>
    <col min="11810" max="12052" width="10.140625" style="32"/>
    <col min="12053" max="12065" width="14" style="32" customWidth="1"/>
    <col min="12066" max="12308" width="10.140625" style="32"/>
    <col min="12309" max="12321" width="14" style="32" customWidth="1"/>
    <col min="12322" max="12564" width="10.140625" style="32"/>
    <col min="12565" max="12577" width="14" style="32" customWidth="1"/>
    <col min="12578" max="12820" width="10.140625" style="32"/>
    <col min="12821" max="12833" width="14" style="32" customWidth="1"/>
    <col min="12834" max="13076" width="10.140625" style="32"/>
    <col min="13077" max="13089" width="14" style="32" customWidth="1"/>
    <col min="13090" max="13332" width="10.140625" style="32"/>
    <col min="13333" max="13345" width="14" style="32" customWidth="1"/>
    <col min="13346" max="13588" width="10.140625" style="32"/>
    <col min="13589" max="13601" width="14" style="32" customWidth="1"/>
    <col min="13602" max="13844" width="10.140625" style="32"/>
    <col min="13845" max="13857" width="14" style="32" customWidth="1"/>
    <col min="13858" max="14100" width="10.140625" style="32"/>
    <col min="14101" max="14113" width="14" style="32" customWidth="1"/>
    <col min="14114" max="14356" width="10.140625" style="32"/>
    <col min="14357" max="14369" width="14" style="32" customWidth="1"/>
    <col min="14370" max="14612" width="10.140625" style="32"/>
    <col min="14613" max="14625" width="14" style="32" customWidth="1"/>
    <col min="14626" max="14868" width="10.140625" style="32"/>
    <col min="14869" max="14881" width="14" style="32" customWidth="1"/>
    <col min="14882" max="15124" width="10.140625" style="32"/>
    <col min="15125" max="15137" width="14" style="32" customWidth="1"/>
    <col min="15138" max="15380" width="10.140625" style="32"/>
    <col min="15381" max="15393" width="14" style="32" customWidth="1"/>
    <col min="15394" max="15636" width="10.140625" style="32"/>
    <col min="15637" max="15649" width="14" style="32" customWidth="1"/>
    <col min="15650" max="15892" width="10.140625" style="32"/>
    <col min="15893" max="15905" width="14" style="32" customWidth="1"/>
    <col min="15906" max="16148" width="10.140625" style="32"/>
    <col min="16149" max="16161" width="14" style="32" customWidth="1"/>
    <col min="16162" max="16384" width="10.140625" style="32"/>
  </cols>
  <sheetData>
    <row r="1" spans="2:39" ht="4.5" customHeight="1" x14ac:dyDescent="0.25"/>
    <row r="2" spans="2:39" ht="15" customHeight="1" x14ac:dyDescent="0.25">
      <c r="B2" s="364" t="s">
        <v>33</v>
      </c>
      <c r="C2" s="365"/>
      <c r="D2" s="543" t="s">
        <v>31</v>
      </c>
      <c r="E2" s="53"/>
      <c r="F2" s="32"/>
      <c r="G2" s="545" t="s">
        <v>9</v>
      </c>
      <c r="H2" s="545"/>
      <c r="I2" s="545"/>
      <c r="J2" s="545"/>
      <c r="K2" s="545"/>
      <c r="L2" s="545"/>
      <c r="M2" s="545"/>
      <c r="N2" s="55"/>
      <c r="O2" s="546" t="s">
        <v>5</v>
      </c>
      <c r="P2" s="546"/>
      <c r="Q2" s="546"/>
      <c r="R2" s="547" t="s">
        <v>5</v>
      </c>
      <c r="S2" s="548"/>
      <c r="T2" s="548"/>
      <c r="U2" s="548"/>
      <c r="V2" s="36"/>
      <c r="W2" s="549" t="s">
        <v>11</v>
      </c>
      <c r="X2" s="549"/>
      <c r="Y2" s="549"/>
      <c r="Z2" s="549"/>
      <c r="AA2" s="594" t="s">
        <v>11</v>
      </c>
      <c r="AB2" s="595"/>
      <c r="AC2" s="595"/>
      <c r="AD2" s="595"/>
      <c r="AE2" s="32"/>
      <c r="AF2" s="550" t="s">
        <v>10</v>
      </c>
      <c r="AG2" s="550"/>
      <c r="AH2" s="550"/>
      <c r="AI2" s="550"/>
      <c r="AJ2" s="535" t="s">
        <v>10</v>
      </c>
      <c r="AK2" s="536"/>
      <c r="AL2" s="536"/>
      <c r="AM2" s="536"/>
    </row>
    <row r="3" spans="2:39" ht="15" customHeight="1" x14ac:dyDescent="0.25">
      <c r="B3" s="37" t="str">
        <f ca="1">MID(CELL("filename",A8),FIND("]",CELL("filename",A8))+1,LEN(CELL("filename",A8))-FIND("]",CELL("filename",A8)))</f>
        <v>03 ZŠ Nám. Míru</v>
      </c>
      <c r="C3" s="33"/>
      <c r="D3" s="543"/>
      <c r="E3" s="53"/>
      <c r="F3" s="32"/>
      <c r="G3" s="537" t="s">
        <v>144</v>
      </c>
      <c r="H3" s="537"/>
      <c r="I3" s="537" t="s">
        <v>6</v>
      </c>
      <c r="J3" s="537"/>
      <c r="K3" s="537" t="s">
        <v>143</v>
      </c>
      <c r="L3" s="537"/>
      <c r="M3" s="537"/>
      <c r="N3" s="38"/>
      <c r="O3" s="538" t="s">
        <v>181</v>
      </c>
      <c r="P3" s="538"/>
      <c r="Q3" s="538"/>
      <c r="R3" s="539" t="s">
        <v>182</v>
      </c>
      <c r="S3" s="538"/>
      <c r="T3" s="538"/>
      <c r="U3" s="538"/>
      <c r="V3" s="38"/>
      <c r="W3" s="540" t="s">
        <v>220</v>
      </c>
      <c r="X3" s="540"/>
      <c r="Y3" s="540"/>
      <c r="Z3" s="540"/>
      <c r="AA3" s="593" t="s">
        <v>221</v>
      </c>
      <c r="AB3" s="540"/>
      <c r="AC3" s="540"/>
      <c r="AD3" s="540"/>
      <c r="AE3" s="32"/>
      <c r="AF3" s="541" t="s">
        <v>184</v>
      </c>
      <c r="AG3" s="541"/>
      <c r="AH3" s="541"/>
      <c r="AI3" s="541"/>
      <c r="AJ3" s="542" t="s">
        <v>185</v>
      </c>
      <c r="AK3" s="541"/>
      <c r="AL3" s="541"/>
      <c r="AM3" s="541"/>
    </row>
    <row r="4" spans="2:39" ht="15" customHeight="1" x14ac:dyDescent="0.25">
      <c r="B4" s="589" t="s">
        <v>222</v>
      </c>
      <c r="C4" s="589"/>
      <c r="D4" s="544"/>
      <c r="E4" s="53"/>
      <c r="F4" s="32"/>
      <c r="G4" s="29" t="s">
        <v>0</v>
      </c>
      <c r="H4" s="29" t="s">
        <v>7</v>
      </c>
      <c r="I4" s="29" t="s">
        <v>0</v>
      </c>
      <c r="J4" s="29" t="s">
        <v>7</v>
      </c>
      <c r="K4" s="29" t="s">
        <v>0</v>
      </c>
      <c r="L4" s="29" t="s">
        <v>13</v>
      </c>
      <c r="M4" s="29" t="s">
        <v>7</v>
      </c>
      <c r="N4" s="56"/>
      <c r="O4" s="31" t="s">
        <v>2</v>
      </c>
      <c r="P4" s="454"/>
      <c r="Q4" s="366" t="s">
        <v>7</v>
      </c>
      <c r="R4" s="367" t="s">
        <v>188</v>
      </c>
      <c r="S4" s="31" t="s">
        <v>223</v>
      </c>
      <c r="T4" s="31"/>
      <c r="U4" s="366" t="s">
        <v>7</v>
      </c>
      <c r="V4" s="39"/>
      <c r="W4" s="301" t="s">
        <v>13</v>
      </c>
      <c r="X4" s="359" t="s">
        <v>190</v>
      </c>
      <c r="Y4" s="359" t="s">
        <v>191</v>
      </c>
      <c r="Z4" s="30" t="s">
        <v>212</v>
      </c>
      <c r="AA4" s="455" t="s">
        <v>4</v>
      </c>
      <c r="AB4" s="359" t="s">
        <v>190</v>
      </c>
      <c r="AC4" s="359" t="s">
        <v>191</v>
      </c>
      <c r="AD4" s="30" t="s">
        <v>212</v>
      </c>
      <c r="AE4" s="32"/>
      <c r="AF4" s="368" t="s">
        <v>2</v>
      </c>
      <c r="AG4" s="371" t="s">
        <v>193</v>
      </c>
      <c r="AH4" s="368" t="s">
        <v>13</v>
      </c>
      <c r="AI4" s="369" t="s">
        <v>7</v>
      </c>
      <c r="AJ4" s="370" t="s">
        <v>2</v>
      </c>
      <c r="AK4" s="371" t="s">
        <v>193</v>
      </c>
      <c r="AL4" s="368" t="s">
        <v>13</v>
      </c>
      <c r="AM4" s="369" t="s">
        <v>7</v>
      </c>
    </row>
    <row r="5" spans="2:39" ht="8.25" customHeight="1" x14ac:dyDescent="0.2">
      <c r="B5" s="589"/>
      <c r="C5" s="589"/>
      <c r="D5" s="52"/>
      <c r="E5" s="372"/>
      <c r="F5" s="64"/>
      <c r="G5" s="33"/>
      <c r="H5" s="33"/>
      <c r="R5" s="373"/>
      <c r="S5" s="374"/>
      <c r="T5" s="374"/>
      <c r="U5" s="363"/>
      <c r="AA5" s="375"/>
      <c r="AJ5" s="375"/>
      <c r="AK5" s="34"/>
      <c r="AL5" s="34"/>
      <c r="AM5" s="363"/>
    </row>
    <row r="6" spans="2:39" ht="15.75" x14ac:dyDescent="0.25">
      <c r="B6" s="47">
        <v>2015</v>
      </c>
      <c r="C6" s="33"/>
      <c r="D6" s="40" t="s">
        <v>18</v>
      </c>
      <c r="E6" s="376">
        <v>31</v>
      </c>
      <c r="F6" s="57"/>
      <c r="G6" s="377"/>
      <c r="H6" s="377"/>
      <c r="I6" s="377"/>
      <c r="J6" s="381"/>
      <c r="K6" s="381"/>
      <c r="L6" s="381"/>
      <c r="M6" s="381"/>
      <c r="N6" s="41"/>
      <c r="O6" s="504">
        <v>28336</v>
      </c>
      <c r="P6" s="388"/>
      <c r="Q6" s="567">
        <v>105095.07</v>
      </c>
      <c r="R6" s="510">
        <v>12888</v>
      </c>
      <c r="S6" s="590">
        <v>7950</v>
      </c>
      <c r="T6" s="437"/>
      <c r="U6" s="570">
        <v>66040.58</v>
      </c>
      <c r="V6" s="58"/>
      <c r="W6" s="504">
        <v>65</v>
      </c>
      <c r="X6" s="504">
        <f>W6*28.6</f>
        <v>1859</v>
      </c>
      <c r="Y6" s="504">
        <f>W6*34.7</f>
        <v>2255.5</v>
      </c>
      <c r="Z6" s="576">
        <f>Y6+X6</f>
        <v>4114.5</v>
      </c>
      <c r="AA6" s="510">
        <v>75</v>
      </c>
      <c r="AB6" s="504">
        <f>AA6*28.6</f>
        <v>2145</v>
      </c>
      <c r="AC6" s="504">
        <f>AA6*34.7</f>
        <v>2602.5</v>
      </c>
      <c r="AD6" s="504">
        <f>AC6+AB6</f>
        <v>4747.5</v>
      </c>
      <c r="AE6" s="59"/>
      <c r="AF6" s="531">
        <v>232007.98</v>
      </c>
      <c r="AG6" s="385"/>
      <c r="AH6" s="531">
        <v>21853.825000000001</v>
      </c>
      <c r="AI6" s="557">
        <v>219633.44</v>
      </c>
      <c r="AJ6" s="586">
        <v>911.46</v>
      </c>
      <c r="AK6" s="385"/>
      <c r="AL6" s="531">
        <v>85.894000000000005</v>
      </c>
      <c r="AM6" s="570">
        <v>1132.75</v>
      </c>
    </row>
    <row r="7" spans="2:39" x14ac:dyDescent="0.25">
      <c r="B7" s="33"/>
      <c r="C7" s="33"/>
      <c r="D7" s="40" t="s">
        <v>19</v>
      </c>
      <c r="E7" s="376">
        <v>28</v>
      </c>
      <c r="F7" s="57"/>
      <c r="G7" s="377"/>
      <c r="H7" s="377"/>
      <c r="I7" s="377"/>
      <c r="J7" s="381"/>
      <c r="K7" s="381"/>
      <c r="L7" s="381"/>
      <c r="M7" s="381"/>
      <c r="N7" s="41"/>
      <c r="O7" s="508"/>
      <c r="P7" s="388"/>
      <c r="Q7" s="568"/>
      <c r="R7" s="523"/>
      <c r="S7" s="591"/>
      <c r="T7" s="437"/>
      <c r="U7" s="571"/>
      <c r="V7" s="58"/>
      <c r="W7" s="508"/>
      <c r="X7" s="508"/>
      <c r="Y7" s="508"/>
      <c r="Z7" s="577"/>
      <c r="AA7" s="523"/>
      <c r="AB7" s="508"/>
      <c r="AC7" s="508"/>
      <c r="AD7" s="508"/>
      <c r="AE7" s="58"/>
      <c r="AF7" s="532"/>
      <c r="AG7" s="385"/>
      <c r="AH7" s="532"/>
      <c r="AI7" s="558"/>
      <c r="AJ7" s="587"/>
      <c r="AK7" s="385"/>
      <c r="AL7" s="532"/>
      <c r="AM7" s="571"/>
    </row>
    <row r="8" spans="2:39" x14ac:dyDescent="0.25">
      <c r="B8" s="33"/>
      <c r="C8" s="33"/>
      <c r="D8" s="40" t="s">
        <v>20</v>
      </c>
      <c r="E8" s="376">
        <v>31</v>
      </c>
      <c r="F8" s="57"/>
      <c r="G8" s="377"/>
      <c r="H8" s="377"/>
      <c r="I8" s="377"/>
      <c r="J8" s="381"/>
      <c r="K8" s="381"/>
      <c r="L8" s="381"/>
      <c r="M8" s="381"/>
      <c r="N8" s="41"/>
      <c r="O8" s="508"/>
      <c r="P8" s="388"/>
      <c r="Q8" s="568"/>
      <c r="R8" s="523"/>
      <c r="S8" s="591"/>
      <c r="T8" s="437"/>
      <c r="U8" s="571"/>
      <c r="V8" s="58"/>
      <c r="W8" s="505"/>
      <c r="X8" s="505"/>
      <c r="Y8" s="505"/>
      <c r="Z8" s="578"/>
      <c r="AA8" s="511"/>
      <c r="AB8" s="505"/>
      <c r="AC8" s="505"/>
      <c r="AD8" s="505"/>
      <c r="AE8" s="58"/>
      <c r="AF8" s="533"/>
      <c r="AG8" s="385"/>
      <c r="AH8" s="533"/>
      <c r="AI8" s="559"/>
      <c r="AJ8" s="588"/>
      <c r="AK8" s="385"/>
      <c r="AL8" s="533"/>
      <c r="AM8" s="572"/>
    </row>
    <row r="9" spans="2:39" x14ac:dyDescent="0.25">
      <c r="B9" s="33"/>
      <c r="C9" s="33"/>
      <c r="D9" s="40" t="s">
        <v>21</v>
      </c>
      <c r="E9" s="376">
        <v>30</v>
      </c>
      <c r="F9" s="57"/>
      <c r="G9" s="377"/>
      <c r="H9" s="377"/>
      <c r="I9" s="377"/>
      <c r="J9" s="381"/>
      <c r="K9" s="381"/>
      <c r="L9" s="381"/>
      <c r="M9" s="381"/>
      <c r="N9" s="41"/>
      <c r="O9" s="508"/>
      <c r="P9" s="443"/>
      <c r="Q9" s="568"/>
      <c r="R9" s="523"/>
      <c r="S9" s="591"/>
      <c r="T9" s="456"/>
      <c r="U9" s="571"/>
      <c r="V9" s="58"/>
      <c r="W9" s="504">
        <v>67</v>
      </c>
      <c r="X9" s="504">
        <f>W9*28.6</f>
        <v>1916.2</v>
      </c>
      <c r="Y9" s="504">
        <f>W9*34.7</f>
        <v>2324.9</v>
      </c>
      <c r="Z9" s="576">
        <f>Y9+X9</f>
        <v>4241.1000000000004</v>
      </c>
      <c r="AA9" s="510">
        <v>116</v>
      </c>
      <c r="AB9" s="504">
        <f>AA9*28.6</f>
        <v>3317.6000000000004</v>
      </c>
      <c r="AC9" s="504">
        <f>AA9*34.7</f>
        <v>4025.2000000000003</v>
      </c>
      <c r="AD9" s="504">
        <f>AB9+AC9</f>
        <v>7342.8000000000011</v>
      </c>
      <c r="AE9" s="58"/>
      <c r="AF9" s="504">
        <v>401615.05</v>
      </c>
      <c r="AG9" s="388"/>
      <c r="AH9" s="504">
        <v>37750.033000000003</v>
      </c>
      <c r="AI9" s="557">
        <v>410777.14</v>
      </c>
      <c r="AJ9" s="510">
        <v>2967.31</v>
      </c>
      <c r="AK9" s="388"/>
      <c r="AL9" s="504">
        <v>278.91500000000002</v>
      </c>
      <c r="AM9" s="570">
        <v>3961.39</v>
      </c>
    </row>
    <row r="10" spans="2:39" x14ac:dyDescent="0.25">
      <c r="B10" s="33"/>
      <c r="C10" s="33"/>
      <c r="D10" s="40" t="s">
        <v>22</v>
      </c>
      <c r="E10" s="376">
        <v>31</v>
      </c>
      <c r="F10" s="57"/>
      <c r="G10" s="377"/>
      <c r="H10" s="377"/>
      <c r="I10" s="377"/>
      <c r="J10" s="381"/>
      <c r="K10" s="381"/>
      <c r="L10" s="381"/>
      <c r="M10" s="381"/>
      <c r="N10" s="41"/>
      <c r="O10" s="508"/>
      <c r="P10" s="443"/>
      <c r="Q10" s="568"/>
      <c r="R10" s="523"/>
      <c r="S10" s="591"/>
      <c r="T10" s="456"/>
      <c r="U10" s="571"/>
      <c r="V10" s="58"/>
      <c r="W10" s="508"/>
      <c r="X10" s="508"/>
      <c r="Y10" s="508"/>
      <c r="Z10" s="577"/>
      <c r="AA10" s="523"/>
      <c r="AB10" s="508"/>
      <c r="AC10" s="508"/>
      <c r="AD10" s="508"/>
      <c r="AE10" s="58"/>
      <c r="AF10" s="508"/>
      <c r="AG10" s="388"/>
      <c r="AH10" s="508"/>
      <c r="AI10" s="558"/>
      <c r="AJ10" s="523"/>
      <c r="AK10" s="388"/>
      <c r="AL10" s="508"/>
      <c r="AM10" s="571"/>
    </row>
    <row r="11" spans="2:39" x14ac:dyDescent="0.25">
      <c r="B11" s="33"/>
      <c r="C11" s="33"/>
      <c r="D11" s="40" t="s">
        <v>23</v>
      </c>
      <c r="E11" s="376">
        <v>30</v>
      </c>
      <c r="F11" s="57"/>
      <c r="G11" s="377"/>
      <c r="H11" s="377"/>
      <c r="I11" s="377"/>
      <c r="J11" s="381"/>
      <c r="K11" s="381"/>
      <c r="L11" s="381"/>
      <c r="M11" s="381"/>
      <c r="N11" s="41"/>
      <c r="O11" s="508"/>
      <c r="P11" s="443"/>
      <c r="Q11" s="568"/>
      <c r="R11" s="523"/>
      <c r="S11" s="591"/>
      <c r="T11" s="456"/>
      <c r="U11" s="571"/>
      <c r="V11" s="58"/>
      <c r="W11" s="505"/>
      <c r="X11" s="505"/>
      <c r="Y11" s="505"/>
      <c r="Z11" s="578"/>
      <c r="AA11" s="511"/>
      <c r="AB11" s="505"/>
      <c r="AC11" s="505"/>
      <c r="AD11" s="505"/>
      <c r="AE11" s="58"/>
      <c r="AF11" s="508"/>
      <c r="AG11" s="388"/>
      <c r="AH11" s="508"/>
      <c r="AI11" s="558"/>
      <c r="AJ11" s="523"/>
      <c r="AK11" s="388"/>
      <c r="AL11" s="508"/>
      <c r="AM11" s="571"/>
    </row>
    <row r="12" spans="2:39" x14ac:dyDescent="0.25">
      <c r="B12" s="33"/>
      <c r="C12" s="33"/>
      <c r="D12" s="40" t="s">
        <v>24</v>
      </c>
      <c r="E12" s="376">
        <v>31</v>
      </c>
      <c r="F12" s="57"/>
      <c r="G12" s="377"/>
      <c r="H12" s="377"/>
      <c r="I12" s="377"/>
      <c r="J12" s="381"/>
      <c r="K12" s="381"/>
      <c r="L12" s="381"/>
      <c r="M12" s="381"/>
      <c r="N12" s="41"/>
      <c r="O12" s="508"/>
      <c r="P12" s="443"/>
      <c r="Q12" s="568"/>
      <c r="R12" s="523"/>
      <c r="S12" s="591"/>
      <c r="T12" s="456"/>
      <c r="U12" s="571"/>
      <c r="V12" s="58"/>
      <c r="W12" s="504">
        <v>57</v>
      </c>
      <c r="X12" s="504">
        <f>W12*28.6</f>
        <v>1630.2</v>
      </c>
      <c r="Y12" s="504">
        <f>W12*34.7</f>
        <v>1977.9</v>
      </c>
      <c r="Z12" s="576">
        <f>Y12+X12</f>
        <v>3608.1000000000004</v>
      </c>
      <c r="AA12" s="510">
        <v>57</v>
      </c>
      <c r="AB12" s="504">
        <f>AA12*28.6</f>
        <v>1630.2</v>
      </c>
      <c r="AC12" s="504">
        <f>AA12*34.7</f>
        <v>1977.9</v>
      </c>
      <c r="AD12" s="504">
        <f>AC12+AB12</f>
        <v>3608.1000000000004</v>
      </c>
      <c r="AE12" s="58"/>
      <c r="AF12" s="508"/>
      <c r="AG12" s="388"/>
      <c r="AH12" s="508"/>
      <c r="AI12" s="558"/>
      <c r="AJ12" s="523"/>
      <c r="AK12" s="388"/>
      <c r="AL12" s="508"/>
      <c r="AM12" s="571"/>
    </row>
    <row r="13" spans="2:39" x14ac:dyDescent="0.25">
      <c r="B13" s="33"/>
      <c r="C13" s="33"/>
      <c r="D13" s="40" t="s">
        <v>25</v>
      </c>
      <c r="E13" s="376">
        <v>31</v>
      </c>
      <c r="F13" s="57"/>
      <c r="G13" s="377"/>
      <c r="H13" s="377"/>
      <c r="I13" s="377"/>
      <c r="J13" s="381"/>
      <c r="K13" s="381"/>
      <c r="L13" s="381"/>
      <c r="M13" s="381"/>
      <c r="N13" s="41"/>
      <c r="O13" s="508"/>
      <c r="P13" s="443"/>
      <c r="Q13" s="568"/>
      <c r="R13" s="523"/>
      <c r="S13" s="591"/>
      <c r="T13" s="456"/>
      <c r="U13" s="571"/>
      <c r="V13" s="58"/>
      <c r="W13" s="508"/>
      <c r="X13" s="508"/>
      <c r="Y13" s="508"/>
      <c r="Z13" s="577"/>
      <c r="AA13" s="523"/>
      <c r="AB13" s="508"/>
      <c r="AC13" s="508"/>
      <c r="AD13" s="508"/>
      <c r="AE13" s="58"/>
      <c r="AF13" s="508"/>
      <c r="AG13" s="388"/>
      <c r="AH13" s="508"/>
      <c r="AI13" s="558"/>
      <c r="AJ13" s="523"/>
      <c r="AK13" s="388"/>
      <c r="AL13" s="508"/>
      <c r="AM13" s="571"/>
    </row>
    <row r="14" spans="2:39" x14ac:dyDescent="0.25">
      <c r="B14" s="33"/>
      <c r="C14" s="33"/>
      <c r="D14" s="40" t="s">
        <v>26</v>
      </c>
      <c r="E14" s="376">
        <v>30</v>
      </c>
      <c r="F14" s="57"/>
      <c r="G14" s="377"/>
      <c r="H14" s="377"/>
      <c r="I14" s="377"/>
      <c r="J14" s="381"/>
      <c r="K14" s="381"/>
      <c r="L14" s="381"/>
      <c r="M14" s="381"/>
      <c r="N14" s="41"/>
      <c r="O14" s="508"/>
      <c r="P14" s="443"/>
      <c r="Q14" s="568"/>
      <c r="R14" s="523"/>
      <c r="S14" s="591"/>
      <c r="T14" s="456"/>
      <c r="U14" s="571"/>
      <c r="V14" s="58"/>
      <c r="W14" s="505"/>
      <c r="X14" s="505"/>
      <c r="Y14" s="505"/>
      <c r="Z14" s="578"/>
      <c r="AA14" s="511"/>
      <c r="AB14" s="505"/>
      <c r="AC14" s="505"/>
      <c r="AD14" s="505"/>
      <c r="AE14" s="58"/>
      <c r="AF14" s="508"/>
      <c r="AG14" s="388"/>
      <c r="AH14" s="508"/>
      <c r="AI14" s="558"/>
      <c r="AJ14" s="523"/>
      <c r="AK14" s="388"/>
      <c r="AL14" s="508"/>
      <c r="AM14" s="571"/>
    </row>
    <row r="15" spans="2:39" x14ac:dyDescent="0.25">
      <c r="B15" s="33"/>
      <c r="C15" s="33"/>
      <c r="D15" s="40" t="s">
        <v>27</v>
      </c>
      <c r="E15" s="376">
        <v>31</v>
      </c>
      <c r="F15" s="57"/>
      <c r="G15" s="377"/>
      <c r="H15" s="377"/>
      <c r="I15" s="377"/>
      <c r="J15" s="381"/>
      <c r="K15" s="381"/>
      <c r="L15" s="381"/>
      <c r="M15" s="381"/>
      <c r="N15" s="41"/>
      <c r="O15" s="508"/>
      <c r="P15" s="443"/>
      <c r="Q15" s="568"/>
      <c r="R15" s="523"/>
      <c r="S15" s="591"/>
      <c r="T15" s="456"/>
      <c r="U15" s="571"/>
      <c r="V15" s="58"/>
      <c r="W15" s="504">
        <v>124</v>
      </c>
      <c r="X15" s="504">
        <f>W15*28.6</f>
        <v>3546.4</v>
      </c>
      <c r="Y15" s="504">
        <f>W15*34.7</f>
        <v>4302.8</v>
      </c>
      <c r="Z15" s="576">
        <f>Y15+X15</f>
        <v>7849.2000000000007</v>
      </c>
      <c r="AA15" s="510">
        <v>123</v>
      </c>
      <c r="AB15" s="504">
        <f>AA15*28.6</f>
        <v>3517.8</v>
      </c>
      <c r="AC15" s="504">
        <f>AA15*34.7</f>
        <v>4268.1000000000004</v>
      </c>
      <c r="AD15" s="504">
        <f>AC15+AB15</f>
        <v>7785.9000000000005</v>
      </c>
      <c r="AE15" s="58"/>
      <c r="AF15" s="508"/>
      <c r="AG15" s="388"/>
      <c r="AH15" s="508"/>
      <c r="AI15" s="558"/>
      <c r="AJ15" s="523"/>
      <c r="AK15" s="388"/>
      <c r="AL15" s="508"/>
      <c r="AM15" s="571"/>
    </row>
    <row r="16" spans="2:39" x14ac:dyDescent="0.25">
      <c r="B16" s="33"/>
      <c r="C16" s="33"/>
      <c r="D16" s="40" t="s">
        <v>28</v>
      </c>
      <c r="E16" s="376">
        <v>30</v>
      </c>
      <c r="F16" s="57"/>
      <c r="G16" s="377"/>
      <c r="H16" s="377"/>
      <c r="I16" s="377"/>
      <c r="J16" s="381"/>
      <c r="K16" s="381"/>
      <c r="L16" s="381"/>
      <c r="M16" s="381"/>
      <c r="N16" s="41"/>
      <c r="O16" s="505"/>
      <c r="P16" s="443"/>
      <c r="Q16" s="579"/>
      <c r="R16" s="511"/>
      <c r="S16" s="592"/>
      <c r="T16" s="456"/>
      <c r="U16" s="572"/>
      <c r="V16" s="58"/>
      <c r="W16" s="508"/>
      <c r="X16" s="508"/>
      <c r="Y16" s="508"/>
      <c r="Z16" s="577"/>
      <c r="AA16" s="523"/>
      <c r="AB16" s="508"/>
      <c r="AC16" s="508"/>
      <c r="AD16" s="508"/>
      <c r="AE16" s="58"/>
      <c r="AF16" s="508"/>
      <c r="AG16" s="388"/>
      <c r="AH16" s="508"/>
      <c r="AI16" s="558"/>
      <c r="AJ16" s="523"/>
      <c r="AK16" s="388"/>
      <c r="AL16" s="508"/>
      <c r="AM16" s="571"/>
    </row>
    <row r="17" spans="2:39" x14ac:dyDescent="0.25">
      <c r="B17" s="33"/>
      <c r="C17" s="33"/>
      <c r="D17" s="40" t="s">
        <v>29</v>
      </c>
      <c r="E17" s="376">
        <v>31</v>
      </c>
      <c r="F17" s="57"/>
      <c r="G17" s="377"/>
      <c r="H17" s="377"/>
      <c r="I17" s="377"/>
      <c r="J17" s="381"/>
      <c r="K17" s="381"/>
      <c r="L17" s="381"/>
      <c r="M17" s="381"/>
      <c r="N17" s="41"/>
      <c r="O17" s="418">
        <v>1437</v>
      </c>
      <c r="P17" s="443"/>
      <c r="Q17" s="436">
        <f>P20/P21*O17</f>
        <v>5391.5857166408387</v>
      </c>
      <c r="R17" s="457">
        <v>49</v>
      </c>
      <c r="S17" s="418">
        <v>29</v>
      </c>
      <c r="T17" s="456">
        <f>SUM(R17:S17)</f>
        <v>78</v>
      </c>
      <c r="U17" s="430">
        <f>T20/T21*T17</f>
        <v>249.82250971171538</v>
      </c>
      <c r="V17" s="41"/>
      <c r="W17" s="505"/>
      <c r="X17" s="505"/>
      <c r="Y17" s="505"/>
      <c r="Z17" s="578"/>
      <c r="AA17" s="511"/>
      <c r="AB17" s="505"/>
      <c r="AC17" s="505"/>
      <c r="AD17" s="505"/>
      <c r="AE17" s="58"/>
      <c r="AF17" s="505"/>
      <c r="AG17" s="388"/>
      <c r="AH17" s="505"/>
      <c r="AI17" s="559"/>
      <c r="AJ17" s="511"/>
      <c r="AK17" s="388"/>
      <c r="AL17" s="505"/>
      <c r="AM17" s="572"/>
    </row>
    <row r="18" spans="2:39" x14ac:dyDescent="0.25">
      <c r="B18" s="43"/>
      <c r="C18" s="43"/>
      <c r="D18" s="44"/>
      <c r="E18" s="60"/>
      <c r="F18" s="60"/>
      <c r="G18" s="45">
        <f>SUM(G6:G17)</f>
        <v>0</v>
      </c>
      <c r="H18" s="45">
        <f t="shared" ref="H18:M18" si="0">SUM(H6:H17)</f>
        <v>0</v>
      </c>
      <c r="I18" s="45">
        <f t="shared" si="0"/>
        <v>0</v>
      </c>
      <c r="J18" s="45">
        <f t="shared" si="0"/>
        <v>0</v>
      </c>
      <c r="K18" s="45">
        <f t="shared" si="0"/>
        <v>0</v>
      </c>
      <c r="L18" s="45">
        <f t="shared" si="0"/>
        <v>0</v>
      </c>
      <c r="M18" s="45">
        <f t="shared" si="0"/>
        <v>0</v>
      </c>
      <c r="N18" s="54"/>
      <c r="O18" s="390">
        <f t="shared" ref="O18:S18" si="1">SUM(O6:O17)</f>
        <v>29773</v>
      </c>
      <c r="P18" s="45"/>
      <c r="Q18" s="391">
        <f t="shared" si="1"/>
        <v>110486.65571664085</v>
      </c>
      <c r="R18" s="392">
        <f t="shared" si="1"/>
        <v>12937</v>
      </c>
      <c r="S18" s="458">
        <f t="shared" si="1"/>
        <v>7979</v>
      </c>
      <c r="T18" s="393"/>
      <c r="U18" s="394">
        <f t="shared" ref="U18" si="2">SUM(U6:U17)</f>
        <v>66290.402509711712</v>
      </c>
      <c r="V18" s="61"/>
      <c r="W18" s="45">
        <f>SUM(W6:W17)</f>
        <v>313</v>
      </c>
      <c r="X18" s="45"/>
      <c r="Y18" s="45"/>
      <c r="Z18" s="45">
        <f>SUM(Z6:Z17)</f>
        <v>19812.900000000001</v>
      </c>
      <c r="AA18" s="395">
        <f>SUM(AA6:AA17)</f>
        <v>371</v>
      </c>
      <c r="AB18" s="45"/>
      <c r="AC18" s="45"/>
      <c r="AD18" s="45">
        <f>SUM(AD6:AD17)</f>
        <v>23484.300000000003</v>
      </c>
      <c r="AE18" s="32"/>
      <c r="AF18" s="45">
        <f>SUM(AF6:AF17)</f>
        <v>633623.03</v>
      </c>
      <c r="AG18" s="45"/>
      <c r="AH18" s="45">
        <f t="shared" ref="AH18:AI18" si="3">SUM(AH6:AH17)</f>
        <v>59603.858000000007</v>
      </c>
      <c r="AI18" s="391">
        <f t="shared" si="3"/>
        <v>630410.58000000007</v>
      </c>
      <c r="AJ18" s="395">
        <f>SUM(AJ6:AJ17)</f>
        <v>3878.77</v>
      </c>
      <c r="AK18" s="46"/>
      <c r="AL18" s="46">
        <f t="shared" ref="AL18:AM18" si="4">SUM(AL6:AL17)</f>
        <v>364.80900000000003</v>
      </c>
      <c r="AM18" s="394">
        <f t="shared" si="4"/>
        <v>5094.1399999999994</v>
      </c>
    </row>
    <row r="19" spans="2:39" ht="15.75" x14ac:dyDescent="0.25">
      <c r="B19" s="396"/>
      <c r="C19" s="397"/>
      <c r="D19" s="398" t="s">
        <v>34</v>
      </c>
      <c r="G19" s="48">
        <v>0.15</v>
      </c>
      <c r="H19" s="49">
        <f>H18*(1+G19)</f>
        <v>0</v>
      </c>
      <c r="I19" s="49"/>
      <c r="J19" s="49">
        <f>J18*(1+G19)</f>
        <v>0</v>
      </c>
      <c r="K19" s="50"/>
      <c r="L19" s="51"/>
      <c r="M19" s="49">
        <f>M18*(1+G19)</f>
        <v>0</v>
      </c>
      <c r="N19" s="62"/>
      <c r="O19" s="400">
        <v>0.21</v>
      </c>
      <c r="P19" s="48"/>
      <c r="Q19" s="401">
        <f>Q18*(1+O19)</f>
        <v>133688.85341713543</v>
      </c>
      <c r="R19" s="402">
        <v>0.21</v>
      </c>
      <c r="S19" s="400"/>
      <c r="T19" s="400"/>
      <c r="U19" s="401">
        <f>U18*(1+R19)</f>
        <v>80211.38703675117</v>
      </c>
      <c r="V19" s="62"/>
      <c r="W19" s="48">
        <v>0.15</v>
      </c>
      <c r="X19" s="48"/>
      <c r="Y19" s="48"/>
      <c r="Z19" s="49">
        <f>Z18*(1+W19)</f>
        <v>22784.834999999999</v>
      </c>
      <c r="AA19" s="403">
        <v>0.15</v>
      </c>
      <c r="AB19" s="48"/>
      <c r="AC19" s="48"/>
      <c r="AD19" s="49">
        <f>AD18*(1+AA19)</f>
        <v>27006.945</v>
      </c>
      <c r="AE19" s="62"/>
      <c r="AF19" s="48">
        <v>0.21</v>
      </c>
      <c r="AG19" s="48"/>
      <c r="AH19" s="42"/>
      <c r="AI19" s="401">
        <f>AI18*(1+AF19)</f>
        <v>762796.80180000002</v>
      </c>
      <c r="AJ19" s="403">
        <v>0.21</v>
      </c>
      <c r="AK19" s="48"/>
      <c r="AL19" s="42"/>
      <c r="AM19" s="401">
        <f>AM18*(1+AJ19)</f>
        <v>6163.9093999999996</v>
      </c>
    </row>
    <row r="20" spans="2:39" ht="20.100000000000001" customHeight="1" x14ac:dyDescent="0.25">
      <c r="B20" s="396"/>
      <c r="C20" s="397"/>
      <c r="D20" s="398"/>
      <c r="G20" s="404"/>
      <c r="H20" s="405"/>
      <c r="I20" s="405"/>
      <c r="J20" s="405"/>
      <c r="K20" s="406"/>
      <c r="L20" s="54"/>
      <c r="M20" s="405"/>
      <c r="O20" s="407"/>
      <c r="P20" s="410">
        <v>113793.60000000001</v>
      </c>
      <c r="Q20" s="408"/>
      <c r="R20" s="409"/>
      <c r="S20" s="407"/>
      <c r="T20" s="410">
        <v>62660.61</v>
      </c>
      <c r="U20" s="408"/>
      <c r="W20" s="404"/>
      <c r="X20" s="404"/>
      <c r="Y20" s="404"/>
      <c r="Z20" s="405"/>
      <c r="AA20" s="412"/>
      <c r="AB20" s="404"/>
      <c r="AC20" s="404"/>
      <c r="AD20" s="405"/>
      <c r="AF20" s="404"/>
      <c r="AG20" s="404"/>
      <c r="AH20" s="411"/>
      <c r="AI20" s="408"/>
      <c r="AJ20" s="412"/>
      <c r="AK20" s="404"/>
      <c r="AL20" s="411"/>
      <c r="AM20" s="408"/>
    </row>
    <row r="21" spans="2:39" ht="20.100000000000001" customHeight="1" x14ac:dyDescent="0.25">
      <c r="G21" s="53"/>
      <c r="H21" s="63"/>
      <c r="I21" s="63"/>
      <c r="J21" s="63"/>
      <c r="K21" s="63"/>
      <c r="L21" s="63"/>
      <c r="M21" s="63"/>
      <c r="N21" s="65"/>
      <c r="O21" s="413"/>
      <c r="P21" s="459">
        <f>SUM(O22:O32)+SUM(O17)</f>
        <v>30329</v>
      </c>
      <c r="Q21" s="414"/>
      <c r="R21" s="415"/>
      <c r="S21" s="460"/>
      <c r="T21" s="416">
        <f>SUM(R22:S32)+SUM(R17:S17)</f>
        <v>19564</v>
      </c>
      <c r="U21" s="417"/>
      <c r="V21" s="65"/>
      <c r="W21" s="63"/>
      <c r="X21" s="63"/>
      <c r="Y21" s="63"/>
      <c r="Z21" s="63"/>
      <c r="AA21" s="461"/>
      <c r="AB21" s="63"/>
      <c r="AC21" s="63"/>
      <c r="AD21" s="63"/>
      <c r="AE21" s="65"/>
      <c r="AI21" s="414"/>
      <c r="AJ21" s="375"/>
      <c r="AK21" s="34"/>
      <c r="AL21" s="34"/>
      <c r="AM21" s="417"/>
    </row>
    <row r="22" spans="2:39" ht="15.75" x14ac:dyDescent="0.25">
      <c r="B22" s="47">
        <f>B6+1</f>
        <v>2016</v>
      </c>
      <c r="D22" s="40" t="s">
        <v>18</v>
      </c>
      <c r="E22" s="376">
        <v>31</v>
      </c>
      <c r="F22" s="57"/>
      <c r="G22" s="377"/>
      <c r="H22" s="377"/>
      <c r="I22" s="377"/>
      <c r="J22" s="381"/>
      <c r="K22" s="381"/>
      <c r="L22" s="381"/>
      <c r="M22" s="381"/>
      <c r="N22" s="41"/>
      <c r="O22" s="418">
        <v>3837</v>
      </c>
      <c r="P22" s="443"/>
      <c r="Q22" s="567">
        <f>(P20/P21)*SUM(O22:O32)</f>
        <v>108402.01428335917</v>
      </c>
      <c r="R22" s="457">
        <v>1417</v>
      </c>
      <c r="S22" s="418">
        <v>858</v>
      </c>
      <c r="T22" s="524">
        <f>SUM(R22:S32)</f>
        <v>19486</v>
      </c>
      <c r="U22" s="570">
        <f>T20/T21*T22</f>
        <v>62410.787490288283</v>
      </c>
      <c r="V22" s="58"/>
      <c r="W22" s="504">
        <v>86</v>
      </c>
      <c r="X22" s="504">
        <f>W22*29.08</f>
        <v>2500.8799999999997</v>
      </c>
      <c r="Y22" s="504">
        <f>W22*35.46</f>
        <v>3049.56</v>
      </c>
      <c r="Z22" s="576">
        <f>Y22+X22</f>
        <v>5550.44</v>
      </c>
      <c r="AA22" s="510">
        <v>79</v>
      </c>
      <c r="AB22" s="504">
        <f>AA22*29.08</f>
        <v>2297.3199999999997</v>
      </c>
      <c r="AC22" s="504">
        <f>AA22*35.46</f>
        <v>2801.34</v>
      </c>
      <c r="AD22" s="504">
        <f>AC22+AB22</f>
        <v>5098.66</v>
      </c>
      <c r="AE22" s="59"/>
      <c r="AF22" s="504">
        <v>208158.83</v>
      </c>
      <c r="AG22" s="388"/>
      <c r="AH22" s="504">
        <v>19531.858</v>
      </c>
      <c r="AI22" s="567">
        <v>196009.59</v>
      </c>
      <c r="AJ22" s="510">
        <v>802.27</v>
      </c>
      <c r="AK22" s="388"/>
      <c r="AL22" s="504">
        <v>75.277000000000001</v>
      </c>
      <c r="AM22" s="570">
        <v>1023.17</v>
      </c>
    </row>
    <row r="23" spans="2:39" x14ac:dyDescent="0.25">
      <c r="D23" s="40" t="s">
        <v>19</v>
      </c>
      <c r="E23" s="376">
        <v>29</v>
      </c>
      <c r="F23" s="57"/>
      <c r="G23" s="377"/>
      <c r="H23" s="377"/>
      <c r="I23" s="377"/>
      <c r="J23" s="381"/>
      <c r="K23" s="381"/>
      <c r="L23" s="381"/>
      <c r="M23" s="381"/>
      <c r="N23" s="41"/>
      <c r="O23" s="418">
        <v>4334</v>
      </c>
      <c r="P23" s="443"/>
      <c r="Q23" s="568"/>
      <c r="R23" s="528">
        <v>5554</v>
      </c>
      <c r="S23" s="524">
        <v>3463</v>
      </c>
      <c r="T23" s="518"/>
      <c r="U23" s="571"/>
      <c r="V23" s="58"/>
      <c r="W23" s="508"/>
      <c r="X23" s="508"/>
      <c r="Y23" s="508"/>
      <c r="Z23" s="577"/>
      <c r="AA23" s="523"/>
      <c r="AB23" s="508"/>
      <c r="AC23" s="508"/>
      <c r="AD23" s="508"/>
      <c r="AE23" s="58"/>
      <c r="AF23" s="508"/>
      <c r="AG23" s="388"/>
      <c r="AH23" s="508"/>
      <c r="AI23" s="568"/>
      <c r="AJ23" s="523"/>
      <c r="AK23" s="388"/>
      <c r="AL23" s="508"/>
      <c r="AM23" s="571"/>
    </row>
    <row r="24" spans="2:39" x14ac:dyDescent="0.25">
      <c r="D24" s="40" t="s">
        <v>20</v>
      </c>
      <c r="E24" s="376">
        <v>31</v>
      </c>
      <c r="F24" s="57"/>
      <c r="G24" s="377"/>
      <c r="H24" s="377"/>
      <c r="I24" s="377"/>
      <c r="J24" s="381"/>
      <c r="K24" s="381"/>
      <c r="L24" s="381"/>
      <c r="M24" s="381"/>
      <c r="N24" s="41"/>
      <c r="O24" s="418">
        <v>2971</v>
      </c>
      <c r="P24" s="443"/>
      <c r="Q24" s="568"/>
      <c r="R24" s="529"/>
      <c r="S24" s="518"/>
      <c r="T24" s="518"/>
      <c r="U24" s="571"/>
      <c r="V24" s="58"/>
      <c r="W24" s="505"/>
      <c r="X24" s="505"/>
      <c r="Y24" s="505"/>
      <c r="Z24" s="578"/>
      <c r="AA24" s="511"/>
      <c r="AB24" s="505"/>
      <c r="AC24" s="505"/>
      <c r="AD24" s="505"/>
      <c r="AE24" s="58"/>
      <c r="AF24" s="505"/>
      <c r="AG24" s="388"/>
      <c r="AH24" s="505"/>
      <c r="AI24" s="579"/>
      <c r="AJ24" s="511"/>
      <c r="AK24" s="388"/>
      <c r="AL24" s="505"/>
      <c r="AM24" s="572"/>
    </row>
    <row r="25" spans="2:39" x14ac:dyDescent="0.25">
      <c r="D25" s="40" t="s">
        <v>21</v>
      </c>
      <c r="E25" s="376">
        <v>30</v>
      </c>
      <c r="F25" s="57"/>
      <c r="G25" s="377"/>
      <c r="H25" s="377"/>
      <c r="I25" s="377"/>
      <c r="J25" s="381"/>
      <c r="K25" s="381"/>
      <c r="L25" s="381"/>
      <c r="M25" s="381"/>
      <c r="N25" s="41"/>
      <c r="O25" s="504">
        <v>6365</v>
      </c>
      <c r="P25" s="388"/>
      <c r="Q25" s="568"/>
      <c r="R25" s="529"/>
      <c r="S25" s="518"/>
      <c r="T25" s="518"/>
      <c r="U25" s="571"/>
      <c r="V25" s="58"/>
      <c r="W25" s="504">
        <v>112</v>
      </c>
      <c r="X25" s="504">
        <f>W25*29.08</f>
        <v>3256.96</v>
      </c>
      <c r="Y25" s="504">
        <f>W25*35.46</f>
        <v>3971.52</v>
      </c>
      <c r="Z25" s="576">
        <f>Y25+X25</f>
        <v>7228.48</v>
      </c>
      <c r="AA25" s="510">
        <v>85</v>
      </c>
      <c r="AB25" s="504">
        <f>AA25*29.08</f>
        <v>2471.7999999999997</v>
      </c>
      <c r="AC25" s="504">
        <f>AA25*35.46</f>
        <v>3014.1</v>
      </c>
      <c r="AD25" s="504">
        <f>AC25+AB25</f>
        <v>5485.9</v>
      </c>
      <c r="AE25" s="58"/>
      <c r="AF25" s="504">
        <v>453579.08</v>
      </c>
      <c r="AG25" s="388"/>
      <c r="AH25" s="504">
        <v>42438.163</v>
      </c>
      <c r="AI25" s="580">
        <v>455820.59</v>
      </c>
      <c r="AJ25" s="510">
        <v>3104.81</v>
      </c>
      <c r="AK25" s="388"/>
      <c r="AL25" s="504">
        <v>290.49599999999998</v>
      </c>
      <c r="AM25" s="583">
        <v>4138.13</v>
      </c>
    </row>
    <row r="26" spans="2:39" x14ac:dyDescent="0.25">
      <c r="D26" s="40" t="s">
        <v>22</v>
      </c>
      <c r="E26" s="376">
        <v>31</v>
      </c>
      <c r="F26" s="57"/>
      <c r="G26" s="377"/>
      <c r="H26" s="377"/>
      <c r="I26" s="377"/>
      <c r="J26" s="381"/>
      <c r="K26" s="381"/>
      <c r="L26" s="381"/>
      <c r="M26" s="381"/>
      <c r="N26" s="41"/>
      <c r="O26" s="508"/>
      <c r="P26" s="388"/>
      <c r="Q26" s="568"/>
      <c r="R26" s="529"/>
      <c r="S26" s="518"/>
      <c r="T26" s="518"/>
      <c r="U26" s="571"/>
      <c r="V26" s="58"/>
      <c r="W26" s="508"/>
      <c r="X26" s="508"/>
      <c r="Y26" s="508"/>
      <c r="Z26" s="577"/>
      <c r="AA26" s="523"/>
      <c r="AB26" s="508"/>
      <c r="AC26" s="508"/>
      <c r="AD26" s="508"/>
      <c r="AE26" s="58"/>
      <c r="AF26" s="508"/>
      <c r="AG26" s="388"/>
      <c r="AH26" s="508"/>
      <c r="AI26" s="581"/>
      <c r="AJ26" s="523"/>
      <c r="AK26" s="388"/>
      <c r="AL26" s="508"/>
      <c r="AM26" s="584"/>
    </row>
    <row r="27" spans="2:39" x14ac:dyDescent="0.25">
      <c r="D27" s="40" t="s">
        <v>23</v>
      </c>
      <c r="E27" s="376">
        <v>30</v>
      </c>
      <c r="F27" s="57"/>
      <c r="G27" s="377"/>
      <c r="H27" s="377"/>
      <c r="I27" s="377"/>
      <c r="J27" s="381"/>
      <c r="K27" s="381"/>
      <c r="L27" s="381"/>
      <c r="M27" s="381"/>
      <c r="N27" s="41"/>
      <c r="O27" s="505"/>
      <c r="P27" s="388"/>
      <c r="Q27" s="568"/>
      <c r="R27" s="529"/>
      <c r="S27" s="518"/>
      <c r="T27" s="518"/>
      <c r="U27" s="571"/>
      <c r="V27" s="58"/>
      <c r="W27" s="505"/>
      <c r="X27" s="505"/>
      <c r="Y27" s="505"/>
      <c r="Z27" s="578"/>
      <c r="AA27" s="511"/>
      <c r="AB27" s="505"/>
      <c r="AC27" s="505"/>
      <c r="AD27" s="505"/>
      <c r="AE27" s="58"/>
      <c r="AF27" s="508"/>
      <c r="AG27" s="388"/>
      <c r="AH27" s="508"/>
      <c r="AI27" s="581"/>
      <c r="AJ27" s="523"/>
      <c r="AK27" s="388"/>
      <c r="AL27" s="508"/>
      <c r="AM27" s="584"/>
    </row>
    <row r="28" spans="2:39" x14ac:dyDescent="0.25">
      <c r="D28" s="40" t="s">
        <v>24</v>
      </c>
      <c r="E28" s="376">
        <v>31</v>
      </c>
      <c r="F28" s="57"/>
      <c r="G28" s="377"/>
      <c r="H28" s="377"/>
      <c r="I28" s="377"/>
      <c r="J28" s="381"/>
      <c r="K28" s="381"/>
      <c r="L28" s="381"/>
      <c r="M28" s="381"/>
      <c r="N28" s="41"/>
      <c r="O28" s="424">
        <v>209</v>
      </c>
      <c r="P28" s="388"/>
      <c r="Q28" s="568"/>
      <c r="R28" s="530"/>
      <c r="S28" s="519"/>
      <c r="T28" s="518"/>
      <c r="U28" s="571"/>
      <c r="V28" s="58"/>
      <c r="W28" s="504">
        <v>53</v>
      </c>
      <c r="X28" s="504">
        <f>W28*29.08</f>
        <v>1541.24</v>
      </c>
      <c r="Y28" s="504">
        <f>W28*35.46</f>
        <v>1879.38</v>
      </c>
      <c r="Z28" s="576">
        <f>Y28+X28</f>
        <v>3420.62</v>
      </c>
      <c r="AA28" s="510">
        <v>30</v>
      </c>
      <c r="AB28" s="504">
        <f>AA28*29.08</f>
        <v>872.4</v>
      </c>
      <c r="AC28" s="504">
        <f>AA28*35.46</f>
        <v>1063.8</v>
      </c>
      <c r="AD28" s="504">
        <f>AC28+AB28</f>
        <v>1936.1999999999998</v>
      </c>
      <c r="AE28" s="58"/>
      <c r="AF28" s="508"/>
      <c r="AG28" s="388"/>
      <c r="AH28" s="508"/>
      <c r="AI28" s="581"/>
      <c r="AJ28" s="523"/>
      <c r="AK28" s="388"/>
      <c r="AL28" s="508"/>
      <c r="AM28" s="584"/>
    </row>
    <row r="29" spans="2:39" x14ac:dyDescent="0.25">
      <c r="D29" s="40" t="s">
        <v>25</v>
      </c>
      <c r="E29" s="376">
        <v>31</v>
      </c>
      <c r="F29" s="57"/>
      <c r="G29" s="377"/>
      <c r="H29" s="377"/>
      <c r="I29" s="377"/>
      <c r="J29" s="381"/>
      <c r="K29" s="381"/>
      <c r="L29" s="381"/>
      <c r="M29" s="381"/>
      <c r="N29" s="41"/>
      <c r="O29" s="424">
        <v>482</v>
      </c>
      <c r="P29" s="388"/>
      <c r="Q29" s="568"/>
      <c r="R29" s="462">
        <v>529</v>
      </c>
      <c r="S29" s="424">
        <v>391</v>
      </c>
      <c r="T29" s="518"/>
      <c r="U29" s="571"/>
      <c r="V29" s="58"/>
      <c r="W29" s="508"/>
      <c r="X29" s="508"/>
      <c r="Y29" s="508"/>
      <c r="Z29" s="577"/>
      <c r="AA29" s="523"/>
      <c r="AB29" s="508"/>
      <c r="AC29" s="508"/>
      <c r="AD29" s="508"/>
      <c r="AE29" s="58"/>
      <c r="AF29" s="508"/>
      <c r="AG29" s="388"/>
      <c r="AH29" s="508"/>
      <c r="AI29" s="581"/>
      <c r="AJ29" s="523"/>
      <c r="AK29" s="388"/>
      <c r="AL29" s="508"/>
      <c r="AM29" s="584"/>
    </row>
    <row r="30" spans="2:39" x14ac:dyDescent="0.25">
      <c r="D30" s="40" t="s">
        <v>26</v>
      </c>
      <c r="E30" s="376">
        <v>30</v>
      </c>
      <c r="F30" s="57"/>
      <c r="G30" s="377"/>
      <c r="H30" s="377"/>
      <c r="I30" s="377"/>
      <c r="J30" s="381"/>
      <c r="K30" s="381"/>
      <c r="L30" s="381"/>
      <c r="M30" s="381"/>
      <c r="N30" s="41"/>
      <c r="O30" s="504">
        <v>5467</v>
      </c>
      <c r="P30" s="388"/>
      <c r="Q30" s="568"/>
      <c r="R30" s="510">
        <v>4586</v>
      </c>
      <c r="S30" s="504">
        <v>2688</v>
      </c>
      <c r="T30" s="518"/>
      <c r="U30" s="571"/>
      <c r="V30" s="58"/>
      <c r="W30" s="505"/>
      <c r="X30" s="505"/>
      <c r="Y30" s="505"/>
      <c r="Z30" s="578"/>
      <c r="AA30" s="511"/>
      <c r="AB30" s="505"/>
      <c r="AC30" s="505"/>
      <c r="AD30" s="505"/>
      <c r="AE30" s="58"/>
      <c r="AF30" s="508"/>
      <c r="AG30" s="388"/>
      <c r="AH30" s="508"/>
      <c r="AI30" s="581"/>
      <c r="AJ30" s="523"/>
      <c r="AK30" s="388"/>
      <c r="AL30" s="508"/>
      <c r="AM30" s="584"/>
    </row>
    <row r="31" spans="2:39" x14ac:dyDescent="0.25">
      <c r="D31" s="40" t="s">
        <v>27</v>
      </c>
      <c r="E31" s="376">
        <v>31</v>
      </c>
      <c r="F31" s="57"/>
      <c r="G31" s="377"/>
      <c r="H31" s="377"/>
      <c r="I31" s="377"/>
      <c r="J31" s="381"/>
      <c r="K31" s="381"/>
      <c r="L31" s="381"/>
      <c r="M31" s="381"/>
      <c r="N31" s="41"/>
      <c r="O31" s="505"/>
      <c r="P31" s="388"/>
      <c r="Q31" s="568"/>
      <c r="R31" s="523"/>
      <c r="S31" s="508"/>
      <c r="T31" s="518"/>
      <c r="U31" s="571"/>
      <c r="V31" s="58"/>
      <c r="W31" s="504">
        <v>83</v>
      </c>
      <c r="X31" s="504">
        <f>W31*29.08</f>
        <v>2413.64</v>
      </c>
      <c r="Y31" s="504">
        <f>W31*35.46</f>
        <v>2943.1800000000003</v>
      </c>
      <c r="Z31" s="576">
        <f>Y31+X31</f>
        <v>5356.82</v>
      </c>
      <c r="AA31" s="510">
        <v>75</v>
      </c>
      <c r="AB31" s="504">
        <f>AA31*29.08</f>
        <v>2181</v>
      </c>
      <c r="AC31" s="504">
        <f>AA31*35.46</f>
        <v>2659.5</v>
      </c>
      <c r="AD31" s="504">
        <f>AC31+AB31</f>
        <v>4840.5</v>
      </c>
      <c r="AE31" s="58"/>
      <c r="AF31" s="508"/>
      <c r="AG31" s="388"/>
      <c r="AH31" s="508"/>
      <c r="AI31" s="581"/>
      <c r="AJ31" s="523"/>
      <c r="AK31" s="388"/>
      <c r="AL31" s="508"/>
      <c r="AM31" s="584"/>
    </row>
    <row r="32" spans="2:39" x14ac:dyDescent="0.25">
      <c r="D32" s="40" t="s">
        <v>28</v>
      </c>
      <c r="E32" s="376">
        <v>30</v>
      </c>
      <c r="F32" s="57"/>
      <c r="G32" s="377"/>
      <c r="H32" s="377"/>
      <c r="I32" s="377"/>
      <c r="J32" s="381"/>
      <c r="K32" s="381"/>
      <c r="L32" s="381"/>
      <c r="M32" s="381"/>
      <c r="N32" s="41"/>
      <c r="O32" s="424">
        <v>5227</v>
      </c>
      <c r="P32" s="388"/>
      <c r="Q32" s="579"/>
      <c r="R32" s="511"/>
      <c r="S32" s="505"/>
      <c r="T32" s="519"/>
      <c r="U32" s="571"/>
      <c r="V32" s="58"/>
      <c r="W32" s="508"/>
      <c r="X32" s="508"/>
      <c r="Y32" s="508"/>
      <c r="Z32" s="577"/>
      <c r="AA32" s="523"/>
      <c r="AB32" s="508"/>
      <c r="AC32" s="508"/>
      <c r="AD32" s="508"/>
      <c r="AE32" s="58"/>
      <c r="AF32" s="508"/>
      <c r="AG32" s="388"/>
      <c r="AH32" s="508"/>
      <c r="AI32" s="581"/>
      <c r="AJ32" s="523"/>
      <c r="AK32" s="388"/>
      <c r="AL32" s="508"/>
      <c r="AM32" s="584"/>
    </row>
    <row r="33" spans="2:39" x14ac:dyDescent="0.25">
      <c r="D33" s="40" t="s">
        <v>29</v>
      </c>
      <c r="E33" s="376">
        <v>31</v>
      </c>
      <c r="F33" s="57"/>
      <c r="G33" s="377"/>
      <c r="H33" s="377"/>
      <c r="I33" s="377"/>
      <c r="J33" s="381"/>
      <c r="K33" s="381"/>
      <c r="L33" s="381"/>
      <c r="M33" s="381"/>
      <c r="N33" s="41"/>
      <c r="O33" s="424">
        <v>973</v>
      </c>
      <c r="P33" s="388"/>
      <c r="Q33" s="463">
        <f>(P36/P37)*O33</f>
        <v>3529.0653602908392</v>
      </c>
      <c r="R33" s="462">
        <v>382</v>
      </c>
      <c r="S33" s="424">
        <v>235</v>
      </c>
      <c r="T33" s="464">
        <f>SUM(R33:S33)</f>
        <v>617</v>
      </c>
      <c r="U33" s="430">
        <f>T36/T37*T33</f>
        <v>1942.8581994690542</v>
      </c>
      <c r="V33" s="41"/>
      <c r="W33" s="505"/>
      <c r="X33" s="505"/>
      <c r="Y33" s="505"/>
      <c r="Z33" s="578"/>
      <c r="AA33" s="511"/>
      <c r="AB33" s="505"/>
      <c r="AC33" s="505"/>
      <c r="AD33" s="505"/>
      <c r="AE33" s="58"/>
      <c r="AF33" s="505"/>
      <c r="AG33" s="388"/>
      <c r="AH33" s="505"/>
      <c r="AI33" s="582"/>
      <c r="AJ33" s="511"/>
      <c r="AK33" s="388"/>
      <c r="AL33" s="505"/>
      <c r="AM33" s="585"/>
    </row>
    <row r="34" spans="2:39" x14ac:dyDescent="0.25">
      <c r="B34" s="43"/>
      <c r="C34" s="43"/>
      <c r="D34" s="44"/>
      <c r="E34" s="60"/>
      <c r="F34" s="60"/>
      <c r="G34" s="45">
        <f>SUM(G22:G33)</f>
        <v>0</v>
      </c>
      <c r="H34" s="45">
        <f t="shared" ref="H34:M34" si="5">SUM(H22:H33)</f>
        <v>0</v>
      </c>
      <c r="I34" s="45">
        <f t="shared" si="5"/>
        <v>0</v>
      </c>
      <c r="J34" s="45">
        <f t="shared" si="5"/>
        <v>0</v>
      </c>
      <c r="K34" s="45">
        <f t="shared" si="5"/>
        <v>0</v>
      </c>
      <c r="L34" s="45">
        <f t="shared" si="5"/>
        <v>0</v>
      </c>
      <c r="M34" s="45">
        <f t="shared" si="5"/>
        <v>0</v>
      </c>
      <c r="N34" s="45"/>
      <c r="O34" s="390">
        <f>SUM(O22:O33)</f>
        <v>29865</v>
      </c>
      <c r="P34" s="45"/>
      <c r="Q34" s="391">
        <f>SUM(Q22:Q33)</f>
        <v>111931.07964365001</v>
      </c>
      <c r="R34" s="392">
        <f>SUM(R22:R33)</f>
        <v>12468</v>
      </c>
      <c r="S34" s="458">
        <f>SUM(S22:S33)</f>
        <v>7635</v>
      </c>
      <c r="T34" s="393"/>
      <c r="U34" s="394">
        <f>SUM(U22:U33)</f>
        <v>64353.645689757337</v>
      </c>
      <c r="V34" s="45"/>
      <c r="W34" s="45">
        <f t="shared" ref="W34:AD34" si="6">SUM(W22:W33)</f>
        <v>334</v>
      </c>
      <c r="X34" s="45"/>
      <c r="Y34" s="45"/>
      <c r="Z34" s="45">
        <f t="shared" ref="Z34:AA34" si="7">SUM(Z22:Z33)</f>
        <v>21556.359999999997</v>
      </c>
      <c r="AA34" s="395">
        <f t="shared" si="7"/>
        <v>269</v>
      </c>
      <c r="AB34" s="45"/>
      <c r="AC34" s="45"/>
      <c r="AD34" s="45">
        <f t="shared" si="6"/>
        <v>17361.259999999998</v>
      </c>
      <c r="AE34" s="46"/>
      <c r="AF34" s="45">
        <f>SUM(AF22:AF33)</f>
        <v>661737.91</v>
      </c>
      <c r="AG34" s="45"/>
      <c r="AH34" s="45">
        <f t="shared" ref="AH34:AI34" si="8">SUM(AH22:AH33)</f>
        <v>61970.021000000001</v>
      </c>
      <c r="AI34" s="391">
        <f t="shared" si="8"/>
        <v>651830.18000000005</v>
      </c>
      <c r="AJ34" s="395">
        <f>SUM(AJ22:AJ33)</f>
        <v>3907.08</v>
      </c>
      <c r="AK34" s="46"/>
      <c r="AL34" s="46">
        <f t="shared" ref="AL34:AM34" si="9">SUM(AL22:AL33)</f>
        <v>365.77299999999997</v>
      </c>
      <c r="AM34" s="394">
        <f t="shared" si="9"/>
        <v>5161.3</v>
      </c>
    </row>
    <row r="35" spans="2:39" ht="15.75" x14ac:dyDescent="0.25">
      <c r="B35" s="396"/>
      <c r="C35" s="397"/>
      <c r="D35" s="398" t="s">
        <v>34</v>
      </c>
      <c r="G35" s="48">
        <v>0.15</v>
      </c>
      <c r="H35" s="49">
        <f>H34*(1+G35)</f>
        <v>0</v>
      </c>
      <c r="I35" s="49"/>
      <c r="J35" s="49">
        <f>J34*(1+G35)</f>
        <v>0</v>
      </c>
      <c r="K35" s="50"/>
      <c r="L35" s="51"/>
      <c r="M35" s="49">
        <f>M34*(1+G35)</f>
        <v>0</v>
      </c>
      <c r="N35" s="42"/>
      <c r="O35" s="400">
        <v>0.21</v>
      </c>
      <c r="P35" s="48"/>
      <c r="Q35" s="401">
        <f>Q34*(1+O35)</f>
        <v>135436.60636881652</v>
      </c>
      <c r="R35" s="402">
        <v>0.21</v>
      </c>
      <c r="S35" s="400"/>
      <c r="T35" s="400"/>
      <c r="U35" s="401">
        <f>U34*(1+R35)</f>
        <v>77867.91128460638</v>
      </c>
      <c r="V35" s="42"/>
      <c r="W35" s="48">
        <v>0.15</v>
      </c>
      <c r="X35" s="48"/>
      <c r="Y35" s="48"/>
      <c r="Z35" s="49">
        <f>Z34*(1+W35)</f>
        <v>24789.813999999995</v>
      </c>
      <c r="AA35" s="403">
        <v>0.15</v>
      </c>
      <c r="AB35" s="48"/>
      <c r="AC35" s="48"/>
      <c r="AD35" s="49">
        <f>AD34*(1+AA35)</f>
        <v>19965.448999999997</v>
      </c>
      <c r="AE35" s="42"/>
      <c r="AF35" s="48">
        <v>0.21</v>
      </c>
      <c r="AG35" s="48"/>
      <c r="AH35" s="42"/>
      <c r="AI35" s="401">
        <f>AI34*(1+AF35)</f>
        <v>788714.51780000003</v>
      </c>
      <c r="AJ35" s="403">
        <v>0.21</v>
      </c>
      <c r="AK35" s="48"/>
      <c r="AL35" s="42"/>
      <c r="AM35" s="401">
        <f>AM34*(1+AJ35)</f>
        <v>6245.1729999999998</v>
      </c>
    </row>
    <row r="36" spans="2:39" ht="15.75" x14ac:dyDescent="0.25">
      <c r="B36" s="396"/>
      <c r="C36" s="397"/>
      <c r="D36" s="398"/>
      <c r="G36" s="404"/>
      <c r="H36" s="405"/>
      <c r="I36" s="405"/>
      <c r="J36" s="405"/>
      <c r="K36" s="406"/>
      <c r="L36" s="54"/>
      <c r="M36" s="405"/>
      <c r="N36" s="411"/>
      <c r="O36" s="407"/>
      <c r="P36" s="410">
        <v>105752.27</v>
      </c>
      <c r="Q36" s="408"/>
      <c r="R36" s="409"/>
      <c r="S36" s="407"/>
      <c r="T36" s="410">
        <v>60493.11</v>
      </c>
      <c r="U36" s="408"/>
      <c r="V36" s="411"/>
      <c r="W36" s="404"/>
      <c r="X36" s="404"/>
      <c r="Y36" s="404"/>
      <c r="Z36" s="405"/>
      <c r="AA36" s="412"/>
      <c r="AB36" s="404"/>
      <c r="AC36" s="404"/>
      <c r="AD36" s="405"/>
      <c r="AE36" s="411"/>
      <c r="AF36" s="404"/>
      <c r="AG36" s="404"/>
      <c r="AH36" s="411"/>
      <c r="AI36" s="408"/>
      <c r="AJ36" s="412"/>
      <c r="AK36" s="404"/>
      <c r="AL36" s="411"/>
      <c r="AM36" s="408"/>
    </row>
    <row r="37" spans="2:39" ht="20.100000000000001" customHeight="1" x14ac:dyDescent="0.25">
      <c r="G37" s="53"/>
      <c r="H37" s="63"/>
      <c r="I37" s="63"/>
      <c r="J37" s="63"/>
      <c r="K37" s="63"/>
      <c r="L37" s="63"/>
      <c r="M37" s="63"/>
      <c r="N37" s="65"/>
      <c r="O37" s="413"/>
      <c r="P37" s="459">
        <f>SUM(O38:O48)+O33</f>
        <v>29157</v>
      </c>
      <c r="Q37" s="414"/>
      <c r="R37" s="415"/>
      <c r="S37" s="465"/>
      <c r="T37" s="416">
        <f>SUM(R38:S48)+SUM(R33:S33)</f>
        <v>19211</v>
      </c>
      <c r="U37" s="417"/>
      <c r="V37" s="65"/>
      <c r="W37" s="63"/>
      <c r="X37" s="63"/>
      <c r="Y37" s="63"/>
      <c r="Z37" s="63"/>
      <c r="AA37" s="461"/>
      <c r="AB37" s="63"/>
      <c r="AC37" s="63"/>
      <c r="AD37" s="63"/>
      <c r="AE37" s="65"/>
      <c r="AI37" s="414"/>
      <c r="AJ37" s="375"/>
      <c r="AK37" s="34"/>
      <c r="AL37" s="34"/>
      <c r="AM37" s="417"/>
    </row>
    <row r="38" spans="2:39" ht="15.75" x14ac:dyDescent="0.25">
      <c r="B38" s="47">
        <f>B22+1</f>
        <v>2017</v>
      </c>
      <c r="D38" s="40" t="s">
        <v>18</v>
      </c>
      <c r="E38" s="376">
        <v>31</v>
      </c>
      <c r="F38" s="57"/>
      <c r="G38" s="377"/>
      <c r="H38" s="377"/>
      <c r="I38" s="377"/>
      <c r="J38" s="377"/>
      <c r="K38" s="422"/>
      <c r="L38" s="422"/>
      <c r="M38" s="422"/>
      <c r="N38" s="66"/>
      <c r="O38" s="424">
        <v>4450</v>
      </c>
      <c r="P38" s="388"/>
      <c r="Q38" s="567">
        <f>(P36/P37)*(SUM(O38:O48))</f>
        <v>102223.20463970916</v>
      </c>
      <c r="R38" s="510">
        <v>6142</v>
      </c>
      <c r="S38" s="504">
        <v>3305</v>
      </c>
      <c r="T38" s="504">
        <f>SUM(R38:S48)</f>
        <v>18594</v>
      </c>
      <c r="U38" s="570">
        <f>T36/T37*T38</f>
        <v>58550.251800530947</v>
      </c>
      <c r="V38" s="58"/>
      <c r="W38" s="504">
        <v>67</v>
      </c>
      <c r="X38" s="504">
        <f>W38*29.86</f>
        <v>2000.62</v>
      </c>
      <c r="Y38" s="504">
        <f>W38*36.38</f>
        <v>2437.46</v>
      </c>
      <c r="Z38" s="573">
        <f>Y38+X38</f>
        <v>4438.08</v>
      </c>
      <c r="AA38" s="510">
        <v>47</v>
      </c>
      <c r="AB38" s="504">
        <f>AA38*29.86</f>
        <v>1403.42</v>
      </c>
      <c r="AC38" s="504">
        <f>AA38*36.38</f>
        <v>1709.8600000000001</v>
      </c>
      <c r="AD38" s="563">
        <f>AC38+AB38</f>
        <v>3113.28</v>
      </c>
      <c r="AE38" s="59"/>
      <c r="AF38" s="554">
        <v>280180.57</v>
      </c>
      <c r="AG38" s="504">
        <f>AF38</f>
        <v>280180.57</v>
      </c>
      <c r="AH38" s="504">
        <v>26198.077000000001</v>
      </c>
      <c r="AI38" s="557">
        <v>210413.24</v>
      </c>
      <c r="AJ38" s="560">
        <v>836.04</v>
      </c>
      <c r="AK38" s="424"/>
      <c r="AL38" s="504">
        <v>78.173000000000002</v>
      </c>
      <c r="AM38" s="570">
        <v>934.45</v>
      </c>
    </row>
    <row r="39" spans="2:39" x14ac:dyDescent="0.25">
      <c r="D39" s="40" t="s">
        <v>19</v>
      </c>
      <c r="E39" s="376">
        <v>28</v>
      </c>
      <c r="F39" s="57"/>
      <c r="G39" s="377"/>
      <c r="H39" s="377"/>
      <c r="I39" s="377"/>
      <c r="J39" s="377"/>
      <c r="K39" s="422"/>
      <c r="L39" s="422"/>
      <c r="M39" s="422"/>
      <c r="N39" s="66"/>
      <c r="O39" s="424">
        <v>3289</v>
      </c>
      <c r="P39" s="388"/>
      <c r="Q39" s="568"/>
      <c r="R39" s="523"/>
      <c r="S39" s="508"/>
      <c r="T39" s="508"/>
      <c r="U39" s="571"/>
      <c r="V39" s="58"/>
      <c r="W39" s="508"/>
      <c r="X39" s="508"/>
      <c r="Y39" s="508"/>
      <c r="Z39" s="574"/>
      <c r="AA39" s="523"/>
      <c r="AB39" s="508"/>
      <c r="AC39" s="508"/>
      <c r="AD39" s="564"/>
      <c r="AE39" s="58"/>
      <c r="AF39" s="555"/>
      <c r="AG39" s="508"/>
      <c r="AH39" s="508"/>
      <c r="AI39" s="558"/>
      <c r="AJ39" s="561"/>
      <c r="AK39" s="424"/>
      <c r="AL39" s="508"/>
      <c r="AM39" s="571"/>
    </row>
    <row r="40" spans="2:39" x14ac:dyDescent="0.25">
      <c r="D40" s="40" t="s">
        <v>20</v>
      </c>
      <c r="E40" s="376">
        <v>31</v>
      </c>
      <c r="F40" s="57"/>
      <c r="G40" s="377"/>
      <c r="H40" s="377"/>
      <c r="I40" s="377"/>
      <c r="J40" s="377"/>
      <c r="K40" s="422"/>
      <c r="L40" s="422"/>
      <c r="M40" s="422"/>
      <c r="N40" s="66"/>
      <c r="O40" s="424">
        <v>2645</v>
      </c>
      <c r="P40" s="388"/>
      <c r="Q40" s="568"/>
      <c r="R40" s="523"/>
      <c r="S40" s="508"/>
      <c r="T40" s="508"/>
      <c r="U40" s="571"/>
      <c r="V40" s="58"/>
      <c r="W40" s="505"/>
      <c r="X40" s="505"/>
      <c r="Y40" s="505"/>
      <c r="Z40" s="575"/>
      <c r="AA40" s="511"/>
      <c r="AB40" s="505"/>
      <c r="AC40" s="505"/>
      <c r="AD40" s="565"/>
      <c r="AE40" s="58"/>
      <c r="AF40" s="556"/>
      <c r="AG40" s="505"/>
      <c r="AH40" s="505"/>
      <c r="AI40" s="559"/>
      <c r="AJ40" s="562"/>
      <c r="AK40" s="424"/>
      <c r="AL40" s="505"/>
      <c r="AM40" s="572"/>
    </row>
    <row r="41" spans="2:39" x14ac:dyDescent="0.25">
      <c r="D41" s="40" t="s">
        <v>21</v>
      </c>
      <c r="E41" s="376">
        <v>30</v>
      </c>
      <c r="F41" s="57"/>
      <c r="G41" s="377"/>
      <c r="H41" s="377"/>
      <c r="I41" s="377"/>
      <c r="J41" s="377"/>
      <c r="K41" s="422"/>
      <c r="L41" s="422"/>
      <c r="M41" s="422"/>
      <c r="N41" s="66"/>
      <c r="O41" s="424">
        <v>2699</v>
      </c>
      <c r="P41" s="388"/>
      <c r="Q41" s="568"/>
      <c r="R41" s="523"/>
      <c r="S41" s="508"/>
      <c r="T41" s="508"/>
      <c r="U41" s="571"/>
      <c r="V41" s="58"/>
      <c r="W41" s="504">
        <v>64</v>
      </c>
      <c r="X41" s="504">
        <f>W41*29.86</f>
        <v>1911.04</v>
      </c>
      <c r="Y41" s="504">
        <f>W41*36.38</f>
        <v>2328.3200000000002</v>
      </c>
      <c r="Z41" s="573">
        <f>Y41+X41</f>
        <v>4239.3600000000006</v>
      </c>
      <c r="AA41" s="510">
        <v>79</v>
      </c>
      <c r="AB41" s="504">
        <f>AA41*29.86</f>
        <v>2358.94</v>
      </c>
      <c r="AC41" s="504">
        <f>AA41*36.38</f>
        <v>2874.02</v>
      </c>
      <c r="AD41" s="563">
        <f>AC41+AB41</f>
        <v>5232.96</v>
      </c>
      <c r="AE41" s="58"/>
      <c r="AF41" s="554">
        <v>736110.08900000004</v>
      </c>
      <c r="AG41" s="504">
        <f>AF41-AF38</f>
        <v>455929.51900000003</v>
      </c>
      <c r="AH41" s="504">
        <v>69042.543000000005</v>
      </c>
      <c r="AI41" s="557">
        <v>588385.42000000004</v>
      </c>
      <c r="AJ41" s="560">
        <v>2802.29</v>
      </c>
      <c r="AK41" s="424"/>
      <c r="AL41" s="504">
        <v>262.50700000000001</v>
      </c>
      <c r="AM41" s="570">
        <v>3280.73</v>
      </c>
    </row>
    <row r="42" spans="2:39" x14ac:dyDescent="0.25">
      <c r="D42" s="40" t="s">
        <v>22</v>
      </c>
      <c r="E42" s="376">
        <v>31</v>
      </c>
      <c r="F42" s="57"/>
      <c r="G42" s="377"/>
      <c r="H42" s="377"/>
      <c r="I42" s="377"/>
      <c r="J42" s="377"/>
      <c r="K42" s="422"/>
      <c r="L42" s="422"/>
      <c r="M42" s="422"/>
      <c r="N42" s="66"/>
      <c r="O42" s="424">
        <v>2070</v>
      </c>
      <c r="P42" s="388"/>
      <c r="Q42" s="568"/>
      <c r="R42" s="511"/>
      <c r="S42" s="505"/>
      <c r="T42" s="508"/>
      <c r="U42" s="571"/>
      <c r="V42" s="58"/>
      <c r="W42" s="508"/>
      <c r="X42" s="508"/>
      <c r="Y42" s="508"/>
      <c r="Z42" s="574"/>
      <c r="AA42" s="523"/>
      <c r="AB42" s="508"/>
      <c r="AC42" s="508"/>
      <c r="AD42" s="564"/>
      <c r="AE42" s="58"/>
      <c r="AF42" s="555"/>
      <c r="AG42" s="508"/>
      <c r="AH42" s="508"/>
      <c r="AI42" s="558"/>
      <c r="AJ42" s="561"/>
      <c r="AK42" s="424"/>
      <c r="AL42" s="508"/>
      <c r="AM42" s="571"/>
    </row>
    <row r="43" spans="2:39" x14ac:dyDescent="0.25">
      <c r="D43" s="40" t="s">
        <v>23</v>
      </c>
      <c r="E43" s="376">
        <v>30</v>
      </c>
      <c r="F43" s="57"/>
      <c r="G43" s="377"/>
      <c r="H43" s="377"/>
      <c r="I43" s="377"/>
      <c r="J43" s="377"/>
      <c r="K43" s="422"/>
      <c r="L43" s="422"/>
      <c r="M43" s="422"/>
      <c r="N43" s="66"/>
      <c r="O43" s="424">
        <v>961</v>
      </c>
      <c r="P43" s="388"/>
      <c r="Q43" s="568"/>
      <c r="R43" s="466">
        <v>522</v>
      </c>
      <c r="S43" s="432">
        <v>276</v>
      </c>
      <c r="T43" s="508"/>
      <c r="U43" s="571"/>
      <c r="V43" s="58"/>
      <c r="W43" s="505"/>
      <c r="X43" s="505"/>
      <c r="Y43" s="505"/>
      <c r="Z43" s="575"/>
      <c r="AA43" s="511"/>
      <c r="AB43" s="505"/>
      <c r="AC43" s="505"/>
      <c r="AD43" s="565"/>
      <c r="AE43" s="58"/>
      <c r="AF43" s="555"/>
      <c r="AG43" s="508"/>
      <c r="AH43" s="508"/>
      <c r="AI43" s="558"/>
      <c r="AJ43" s="561"/>
      <c r="AK43" s="424"/>
      <c r="AL43" s="508"/>
      <c r="AM43" s="571"/>
    </row>
    <row r="44" spans="2:39" x14ac:dyDescent="0.25">
      <c r="D44" s="40" t="s">
        <v>24</v>
      </c>
      <c r="E44" s="376">
        <v>31</v>
      </c>
      <c r="F44" s="57"/>
      <c r="G44" s="377"/>
      <c r="H44" s="377"/>
      <c r="I44" s="377"/>
      <c r="J44" s="377"/>
      <c r="K44" s="422"/>
      <c r="L44" s="422"/>
      <c r="M44" s="422"/>
      <c r="N44" s="66"/>
      <c r="O44" s="424">
        <v>409</v>
      </c>
      <c r="P44" s="388"/>
      <c r="Q44" s="568"/>
      <c r="R44" s="426">
        <v>449</v>
      </c>
      <c r="S44" s="437">
        <v>242</v>
      </c>
      <c r="T44" s="508"/>
      <c r="U44" s="571"/>
      <c r="V44" s="58"/>
      <c r="W44" s="504">
        <v>34</v>
      </c>
      <c r="X44" s="504">
        <f>W44*29.86</f>
        <v>1015.24</v>
      </c>
      <c r="Y44" s="504">
        <f>W44*36.38</f>
        <v>1236.92</v>
      </c>
      <c r="Z44" s="573">
        <f>Y44+X44</f>
        <v>2252.16</v>
      </c>
      <c r="AA44" s="510">
        <v>42</v>
      </c>
      <c r="AB44" s="504">
        <f>AA44*29.86</f>
        <v>1254.1199999999999</v>
      </c>
      <c r="AC44" s="504">
        <f>AA44*36.38</f>
        <v>1527.96</v>
      </c>
      <c r="AD44" s="563">
        <f>AC44+AB44</f>
        <v>2782.08</v>
      </c>
      <c r="AE44" s="58"/>
      <c r="AF44" s="555"/>
      <c r="AG44" s="508"/>
      <c r="AH44" s="508"/>
      <c r="AI44" s="558"/>
      <c r="AJ44" s="561"/>
      <c r="AK44" s="424"/>
      <c r="AL44" s="508"/>
      <c r="AM44" s="571"/>
    </row>
    <row r="45" spans="2:39" x14ac:dyDescent="0.25">
      <c r="D45" s="40" t="s">
        <v>25</v>
      </c>
      <c r="E45" s="376">
        <v>31</v>
      </c>
      <c r="F45" s="57"/>
      <c r="G45" s="377"/>
      <c r="H45" s="377"/>
      <c r="I45" s="377"/>
      <c r="J45" s="377"/>
      <c r="K45" s="422"/>
      <c r="L45" s="422"/>
      <c r="M45" s="422"/>
      <c r="N45" s="66"/>
      <c r="O45" s="424">
        <v>446</v>
      </c>
      <c r="P45" s="388"/>
      <c r="Q45" s="568"/>
      <c r="R45" s="426">
        <v>462</v>
      </c>
      <c r="S45" s="437">
        <v>260</v>
      </c>
      <c r="T45" s="508"/>
      <c r="U45" s="571"/>
      <c r="V45" s="58"/>
      <c r="W45" s="508"/>
      <c r="X45" s="508"/>
      <c r="Y45" s="508"/>
      <c r="Z45" s="574"/>
      <c r="AA45" s="523"/>
      <c r="AB45" s="508"/>
      <c r="AC45" s="508"/>
      <c r="AD45" s="564"/>
      <c r="AE45" s="58"/>
      <c r="AF45" s="555"/>
      <c r="AG45" s="508"/>
      <c r="AH45" s="508"/>
      <c r="AI45" s="558"/>
      <c r="AJ45" s="561"/>
      <c r="AK45" s="424"/>
      <c r="AL45" s="508"/>
      <c r="AM45" s="571"/>
    </row>
    <row r="46" spans="2:39" x14ac:dyDescent="0.25">
      <c r="D46" s="40" t="s">
        <v>26</v>
      </c>
      <c r="E46" s="376">
        <v>30</v>
      </c>
      <c r="F46" s="57"/>
      <c r="G46" s="377"/>
      <c r="H46" s="377"/>
      <c r="I46" s="377"/>
      <c r="J46" s="377"/>
      <c r="K46" s="422"/>
      <c r="L46" s="422"/>
      <c r="M46" s="422"/>
      <c r="N46" s="66"/>
      <c r="O46" s="424">
        <v>2127</v>
      </c>
      <c r="P46" s="388"/>
      <c r="Q46" s="568"/>
      <c r="R46" s="426">
        <v>994</v>
      </c>
      <c r="S46" s="437">
        <v>571</v>
      </c>
      <c r="T46" s="508"/>
      <c r="U46" s="571"/>
      <c r="V46" s="58"/>
      <c r="W46" s="505"/>
      <c r="X46" s="505"/>
      <c r="Y46" s="505"/>
      <c r="Z46" s="575"/>
      <c r="AA46" s="511"/>
      <c r="AB46" s="505"/>
      <c r="AC46" s="505"/>
      <c r="AD46" s="565"/>
      <c r="AE46" s="58"/>
      <c r="AF46" s="555"/>
      <c r="AG46" s="508"/>
      <c r="AH46" s="508"/>
      <c r="AI46" s="558"/>
      <c r="AJ46" s="561"/>
      <c r="AK46" s="424"/>
      <c r="AL46" s="508"/>
      <c r="AM46" s="571"/>
    </row>
    <row r="47" spans="2:39" x14ac:dyDescent="0.25">
      <c r="D47" s="40" t="s">
        <v>27</v>
      </c>
      <c r="E47" s="376">
        <v>31</v>
      </c>
      <c r="F47" s="57"/>
      <c r="G47" s="377"/>
      <c r="H47" s="377"/>
      <c r="I47" s="377"/>
      <c r="J47" s="377"/>
      <c r="K47" s="422"/>
      <c r="L47" s="422"/>
      <c r="M47" s="422"/>
      <c r="N47" s="66"/>
      <c r="O47" s="424">
        <v>3751</v>
      </c>
      <c r="P47" s="388"/>
      <c r="Q47" s="568"/>
      <c r="R47" s="426">
        <v>1534</v>
      </c>
      <c r="S47" s="437">
        <v>819</v>
      </c>
      <c r="T47" s="508"/>
      <c r="U47" s="571"/>
      <c r="V47" s="58"/>
      <c r="W47" s="504">
        <v>76</v>
      </c>
      <c r="X47" s="504">
        <f>W47*29.86</f>
        <v>2269.36</v>
      </c>
      <c r="Y47" s="504">
        <f>W47*36.38</f>
        <v>2764.88</v>
      </c>
      <c r="Z47" s="573">
        <f>Y47+X47</f>
        <v>5034.24</v>
      </c>
      <c r="AA47" s="510">
        <v>77</v>
      </c>
      <c r="AB47" s="504">
        <f>AA47*29.86</f>
        <v>2299.2199999999998</v>
      </c>
      <c r="AC47" s="504">
        <f>AA47*36.38</f>
        <v>2801.26</v>
      </c>
      <c r="AD47" s="563">
        <f>AC47+AB47</f>
        <v>5100.4799999999996</v>
      </c>
      <c r="AE47" s="58"/>
      <c r="AF47" s="555"/>
      <c r="AG47" s="508"/>
      <c r="AH47" s="508"/>
      <c r="AI47" s="558"/>
      <c r="AJ47" s="561"/>
      <c r="AK47" s="424"/>
      <c r="AL47" s="508"/>
      <c r="AM47" s="571"/>
    </row>
    <row r="48" spans="2:39" x14ac:dyDescent="0.25">
      <c r="D48" s="40" t="s">
        <v>28</v>
      </c>
      <c r="E48" s="376">
        <v>30</v>
      </c>
      <c r="F48" s="57"/>
      <c r="G48" s="377"/>
      <c r="H48" s="377"/>
      <c r="I48" s="377"/>
      <c r="J48" s="377"/>
      <c r="K48" s="422"/>
      <c r="L48" s="422"/>
      <c r="M48" s="422"/>
      <c r="N48" s="66"/>
      <c r="O48" s="424">
        <v>5337</v>
      </c>
      <c r="P48" s="388"/>
      <c r="Q48" s="579"/>
      <c r="R48" s="426">
        <v>1959</v>
      </c>
      <c r="S48" s="437">
        <v>1059</v>
      </c>
      <c r="T48" s="566"/>
      <c r="U48" s="572"/>
      <c r="V48" s="58"/>
      <c r="W48" s="508"/>
      <c r="X48" s="508"/>
      <c r="Y48" s="508"/>
      <c r="Z48" s="574"/>
      <c r="AA48" s="523"/>
      <c r="AB48" s="508"/>
      <c r="AC48" s="508"/>
      <c r="AD48" s="564"/>
      <c r="AE48" s="58"/>
      <c r="AF48" s="555"/>
      <c r="AG48" s="508"/>
      <c r="AH48" s="508"/>
      <c r="AI48" s="558"/>
      <c r="AJ48" s="561"/>
      <c r="AK48" s="424"/>
      <c r="AL48" s="508"/>
      <c r="AM48" s="571"/>
    </row>
    <row r="49" spans="2:39" x14ac:dyDescent="0.25">
      <c r="D49" s="40" t="s">
        <v>29</v>
      </c>
      <c r="E49" s="376">
        <v>31</v>
      </c>
      <c r="F49" s="57"/>
      <c r="G49" s="377"/>
      <c r="H49" s="377"/>
      <c r="I49" s="377"/>
      <c r="J49" s="377"/>
      <c r="K49" s="422"/>
      <c r="L49" s="422"/>
      <c r="M49" s="422"/>
      <c r="N49" s="66"/>
      <c r="O49" s="424">
        <v>438</v>
      </c>
      <c r="P49" s="388"/>
      <c r="Q49" s="463">
        <v>1654.59</v>
      </c>
      <c r="R49" s="426">
        <v>993</v>
      </c>
      <c r="S49" s="437">
        <v>224</v>
      </c>
      <c r="T49" s="464"/>
      <c r="U49" s="467">
        <v>4005.92</v>
      </c>
      <c r="V49" s="41"/>
      <c r="W49" s="505"/>
      <c r="X49" s="505"/>
      <c r="Y49" s="505"/>
      <c r="Z49" s="575"/>
      <c r="AA49" s="511"/>
      <c r="AB49" s="505"/>
      <c r="AC49" s="505"/>
      <c r="AD49" s="565"/>
      <c r="AE49" s="58"/>
      <c r="AF49" s="556"/>
      <c r="AG49" s="505"/>
      <c r="AH49" s="505"/>
      <c r="AI49" s="559"/>
      <c r="AJ49" s="562"/>
      <c r="AK49" s="424"/>
      <c r="AL49" s="505"/>
      <c r="AM49" s="572"/>
    </row>
    <row r="50" spans="2:39" x14ac:dyDescent="0.25">
      <c r="B50" s="43"/>
      <c r="C50" s="43"/>
      <c r="D50" s="44"/>
      <c r="E50" s="60"/>
      <c r="F50" s="60"/>
      <c r="G50" s="45">
        <f>SUM(G38:G49)</f>
        <v>0</v>
      </c>
      <c r="H50" s="45">
        <f t="shared" ref="H50:M50" si="10">SUM(H38:H49)</f>
        <v>0</v>
      </c>
      <c r="I50" s="45">
        <f t="shared" si="10"/>
        <v>0</v>
      </c>
      <c r="J50" s="45">
        <f t="shared" si="10"/>
        <v>0</v>
      </c>
      <c r="K50" s="45">
        <f t="shared" si="10"/>
        <v>0</v>
      </c>
      <c r="L50" s="45">
        <f t="shared" si="10"/>
        <v>0</v>
      </c>
      <c r="M50" s="45">
        <f t="shared" si="10"/>
        <v>0</v>
      </c>
      <c r="N50" s="45"/>
      <c r="O50" s="390">
        <f>SUM(O38:O49)</f>
        <v>28622</v>
      </c>
      <c r="P50" s="45"/>
      <c r="Q50" s="391">
        <f>SUM(Q38:Q49)</f>
        <v>103877.79463970916</v>
      </c>
      <c r="R50" s="427">
        <f>SUM(R38:R49)</f>
        <v>13055</v>
      </c>
      <c r="S50" s="468">
        <f>SUM(S38:S49)</f>
        <v>6756</v>
      </c>
      <c r="T50" s="393"/>
      <c r="U50" s="394">
        <f>SUM(U38:U49)</f>
        <v>62556.171800530945</v>
      </c>
      <c r="V50" s="45"/>
      <c r="W50" s="45">
        <f t="shared" ref="W50:AD50" si="11">SUM(W38:W49)</f>
        <v>241</v>
      </c>
      <c r="X50" s="45"/>
      <c r="Y50" s="45"/>
      <c r="Z50" s="45">
        <f t="shared" ref="Z50:AA50" si="12">SUM(Z38:Z49)</f>
        <v>15963.84</v>
      </c>
      <c r="AA50" s="395">
        <f t="shared" si="12"/>
        <v>245</v>
      </c>
      <c r="AB50" s="45"/>
      <c r="AC50" s="45"/>
      <c r="AD50" s="45">
        <f t="shared" si="11"/>
        <v>16228.8</v>
      </c>
      <c r="AE50" s="46"/>
      <c r="AF50" s="45">
        <f>SUM(AG38:AG49)</f>
        <v>736110.08900000004</v>
      </c>
      <c r="AH50" s="45">
        <f>SUM(AH38:AH49)-AH38</f>
        <v>69042.543000000005</v>
      </c>
      <c r="AI50" s="391">
        <f>SUM(AI38:AI49)-AI38</f>
        <v>588385.42000000004</v>
      </c>
      <c r="AJ50" s="395">
        <f>SUM(AJ38:AJ49)</f>
        <v>3638.33</v>
      </c>
      <c r="AK50" s="46"/>
      <c r="AL50" s="46">
        <f>SUM(AL38:AL49)</f>
        <v>340.68</v>
      </c>
      <c r="AM50" s="394">
        <f t="shared" ref="AM50" si="13">SUM(AM38:AM49)</f>
        <v>4215.18</v>
      </c>
    </row>
    <row r="51" spans="2:39" ht="15.75" x14ac:dyDescent="0.25">
      <c r="B51" s="396"/>
      <c r="C51" s="397"/>
      <c r="D51" s="398" t="s">
        <v>34</v>
      </c>
      <c r="G51" s="48">
        <v>0.15</v>
      </c>
      <c r="H51" s="49">
        <f>H50*(1+G51)</f>
        <v>0</v>
      </c>
      <c r="I51" s="49"/>
      <c r="J51" s="49">
        <f>J50*(1+G51)</f>
        <v>0</v>
      </c>
      <c r="K51" s="50"/>
      <c r="L51" s="51"/>
      <c r="M51" s="49">
        <f>M50*(1+G51)</f>
        <v>0</v>
      </c>
      <c r="N51" s="42"/>
      <c r="O51" s="400">
        <v>0.21</v>
      </c>
      <c r="P51" s="48"/>
      <c r="Q51" s="401">
        <f>Q50*(1+O51)</f>
        <v>125692.13151404807</v>
      </c>
      <c r="R51" s="402">
        <v>0.21</v>
      </c>
      <c r="S51" s="400"/>
      <c r="T51" s="400"/>
      <c r="U51" s="401">
        <f>U50*(1+R51)</f>
        <v>75692.967878642448</v>
      </c>
      <c r="V51" s="42"/>
      <c r="W51" s="48">
        <v>0.15</v>
      </c>
      <c r="X51" s="48"/>
      <c r="Y51" s="48"/>
      <c r="Z51" s="49">
        <f>Z50*(1+W51)</f>
        <v>18358.415999999997</v>
      </c>
      <c r="AA51" s="403">
        <v>0.15</v>
      </c>
      <c r="AB51" s="48"/>
      <c r="AC51" s="48"/>
      <c r="AD51" s="49">
        <f>AD50*(1+AA51)</f>
        <v>18663.12</v>
      </c>
      <c r="AE51" s="42"/>
      <c r="AF51" s="48">
        <v>0.21</v>
      </c>
      <c r="AG51" s="48"/>
      <c r="AH51" s="42"/>
      <c r="AI51" s="401">
        <f>AI50*(1+AF51)</f>
        <v>711946.35820000002</v>
      </c>
      <c r="AJ51" s="403">
        <v>0.21</v>
      </c>
      <c r="AK51" s="48"/>
      <c r="AL51" s="42"/>
      <c r="AM51" s="401">
        <f>AM50*(1+AJ51)</f>
        <v>5100.3678</v>
      </c>
    </row>
    <row r="52" spans="2:39" ht="15.75" x14ac:dyDescent="0.25">
      <c r="B52" s="396"/>
      <c r="C52" s="397"/>
      <c r="D52" s="398"/>
      <c r="G52" s="404"/>
      <c r="H52" s="405"/>
      <c r="I52" s="405"/>
      <c r="J52" s="405"/>
      <c r="K52" s="406"/>
      <c r="L52" s="54"/>
      <c r="M52" s="405"/>
      <c r="N52" s="411"/>
      <c r="O52" s="407"/>
      <c r="P52" s="404"/>
      <c r="Q52" s="408"/>
      <c r="R52" s="409"/>
      <c r="S52" s="407"/>
      <c r="T52" s="407"/>
      <c r="U52" s="408"/>
      <c r="V52" s="411"/>
      <c r="W52" s="404"/>
      <c r="X52" s="404"/>
      <c r="Y52" s="404"/>
      <c r="Z52" s="405"/>
      <c r="AA52" s="412"/>
      <c r="AB52" s="404"/>
      <c r="AC52" s="404"/>
      <c r="AD52" s="405"/>
      <c r="AE52" s="411"/>
      <c r="AF52" s="404"/>
      <c r="AG52" s="404"/>
      <c r="AH52" s="411"/>
      <c r="AI52" s="408"/>
      <c r="AJ52" s="412"/>
      <c r="AK52" s="404"/>
      <c r="AL52" s="411"/>
      <c r="AM52" s="408"/>
    </row>
    <row r="53" spans="2:39" ht="15.75" hidden="1" customHeight="1" outlineLevel="1" x14ac:dyDescent="0.25">
      <c r="B53" s="396"/>
      <c r="C53" s="397"/>
      <c r="D53" s="398"/>
      <c r="G53" s="404"/>
      <c r="H53" s="405"/>
      <c r="I53" s="405"/>
      <c r="J53" s="405"/>
      <c r="K53" s="406"/>
      <c r="L53" s="54"/>
      <c r="M53" s="405"/>
      <c r="N53" s="411"/>
      <c r="O53" s="407"/>
      <c r="P53" s="404"/>
      <c r="Q53" s="408"/>
      <c r="R53" s="409"/>
      <c r="S53" s="407"/>
      <c r="T53" s="407"/>
      <c r="U53" s="408"/>
      <c r="V53" s="411"/>
      <c r="W53" s="404"/>
      <c r="X53" s="404"/>
      <c r="Y53" s="404"/>
      <c r="Z53" s="405"/>
      <c r="AA53" s="412"/>
      <c r="AB53" s="404"/>
      <c r="AC53" s="404"/>
      <c r="AD53" s="405"/>
      <c r="AE53" s="411"/>
      <c r="AF53" s="404"/>
      <c r="AG53" s="404"/>
      <c r="AH53" s="411"/>
      <c r="AI53" s="408"/>
      <c r="AJ53" s="412"/>
      <c r="AK53" s="404"/>
      <c r="AL53" s="411"/>
      <c r="AM53" s="408"/>
    </row>
    <row r="54" spans="2:39" ht="15.75" hidden="1" customHeight="1" outlineLevel="1" x14ac:dyDescent="0.25">
      <c r="B54" s="47">
        <f>B38+1</f>
        <v>2018</v>
      </c>
      <c r="D54" s="40" t="s">
        <v>18</v>
      </c>
      <c r="E54" s="376">
        <v>31</v>
      </c>
      <c r="F54" s="57"/>
      <c r="G54" s="377"/>
      <c r="H54" s="377"/>
      <c r="I54" s="377"/>
      <c r="J54" s="377"/>
      <c r="K54" s="422"/>
      <c r="L54" s="422"/>
      <c r="M54" s="422"/>
      <c r="N54" s="66"/>
      <c r="O54" s="424"/>
      <c r="P54" s="388"/>
      <c r="Q54" s="436"/>
      <c r="R54" s="426"/>
      <c r="S54" s="437"/>
      <c r="T54" s="437"/>
      <c r="U54" s="430"/>
      <c r="V54" s="58"/>
      <c r="W54" s="388"/>
      <c r="X54" s="388"/>
      <c r="Y54" s="388"/>
      <c r="Z54" s="469"/>
      <c r="AA54" s="470"/>
      <c r="AB54" s="388"/>
      <c r="AC54" s="388"/>
      <c r="AD54" s="471"/>
      <c r="AE54" s="59"/>
      <c r="AF54" s="504"/>
      <c r="AG54" s="424"/>
      <c r="AH54" s="504"/>
      <c r="AI54" s="567"/>
      <c r="AJ54" s="470"/>
      <c r="AK54" s="424"/>
      <c r="AL54" s="388"/>
      <c r="AM54" s="430"/>
    </row>
    <row r="55" spans="2:39" ht="15" hidden="1" customHeight="1" outlineLevel="1" x14ac:dyDescent="0.25">
      <c r="D55" s="40" t="s">
        <v>19</v>
      </c>
      <c r="E55" s="376">
        <v>28</v>
      </c>
      <c r="F55" s="57"/>
      <c r="G55" s="377"/>
      <c r="H55" s="377"/>
      <c r="I55" s="377"/>
      <c r="J55" s="377"/>
      <c r="K55" s="422"/>
      <c r="L55" s="422"/>
      <c r="M55" s="422"/>
      <c r="N55" s="66"/>
      <c r="O55" s="424"/>
      <c r="P55" s="388"/>
      <c r="Q55" s="436"/>
      <c r="R55" s="426"/>
      <c r="S55" s="437"/>
      <c r="T55" s="437"/>
      <c r="U55" s="430"/>
      <c r="V55" s="58"/>
      <c r="W55" s="388"/>
      <c r="X55" s="388"/>
      <c r="Y55" s="388"/>
      <c r="Z55" s="469"/>
      <c r="AA55" s="470"/>
      <c r="AB55" s="388"/>
      <c r="AC55" s="388"/>
      <c r="AD55" s="471"/>
      <c r="AE55" s="58"/>
      <c r="AF55" s="508"/>
      <c r="AG55" s="424"/>
      <c r="AH55" s="508"/>
      <c r="AI55" s="568"/>
      <c r="AJ55" s="470"/>
      <c r="AK55" s="424"/>
      <c r="AL55" s="388"/>
      <c r="AM55" s="430"/>
    </row>
    <row r="56" spans="2:39" ht="15" hidden="1" customHeight="1" outlineLevel="1" x14ac:dyDescent="0.25">
      <c r="D56" s="40" t="s">
        <v>20</v>
      </c>
      <c r="E56" s="376">
        <v>31</v>
      </c>
      <c r="F56" s="57"/>
      <c r="G56" s="377"/>
      <c r="H56" s="377"/>
      <c r="I56" s="377"/>
      <c r="J56" s="377"/>
      <c r="K56" s="422"/>
      <c r="L56" s="422"/>
      <c r="M56" s="422"/>
      <c r="N56" s="66"/>
      <c r="O56" s="424"/>
      <c r="P56" s="388"/>
      <c r="Q56" s="436"/>
      <c r="R56" s="426"/>
      <c r="S56" s="437"/>
      <c r="T56" s="437"/>
      <c r="U56" s="430"/>
      <c r="V56" s="58"/>
      <c r="W56" s="388"/>
      <c r="X56" s="388"/>
      <c r="Y56" s="388"/>
      <c r="Z56" s="469"/>
      <c r="AA56" s="470"/>
      <c r="AB56" s="388"/>
      <c r="AC56" s="388"/>
      <c r="AD56" s="471"/>
      <c r="AE56" s="58"/>
      <c r="AF56" s="566"/>
      <c r="AG56" s="472"/>
      <c r="AH56" s="566"/>
      <c r="AI56" s="569"/>
      <c r="AJ56" s="435"/>
      <c r="AK56" s="432"/>
      <c r="AL56" s="388"/>
      <c r="AM56" s="430"/>
    </row>
    <row r="57" spans="2:39" ht="15" hidden="1" customHeight="1" outlineLevel="1" x14ac:dyDescent="0.25">
      <c r="D57" s="40" t="s">
        <v>21</v>
      </c>
      <c r="E57" s="376">
        <v>30</v>
      </c>
      <c r="F57" s="57"/>
      <c r="G57" s="377"/>
      <c r="H57" s="377"/>
      <c r="I57" s="377"/>
      <c r="J57" s="377"/>
      <c r="K57" s="422"/>
      <c r="L57" s="422"/>
      <c r="M57" s="422"/>
      <c r="N57" s="66"/>
      <c r="O57" s="424"/>
      <c r="P57" s="388"/>
      <c r="Q57" s="436"/>
      <c r="R57" s="426"/>
      <c r="S57" s="437"/>
      <c r="T57" s="437"/>
      <c r="U57" s="430"/>
      <c r="V57" s="58"/>
      <c r="W57" s="388"/>
      <c r="X57" s="388"/>
      <c r="Y57" s="388"/>
      <c r="Z57" s="469"/>
      <c r="AA57" s="470"/>
      <c r="AB57" s="388"/>
      <c r="AC57" s="388"/>
      <c r="AD57" s="471"/>
      <c r="AE57" s="58"/>
      <c r="AF57" s="433"/>
      <c r="AG57" s="433"/>
      <c r="AH57" s="433"/>
      <c r="AI57" s="463"/>
      <c r="AJ57" s="470"/>
      <c r="AK57" s="388"/>
      <c r="AL57" s="388"/>
      <c r="AM57" s="430"/>
    </row>
    <row r="58" spans="2:39" ht="15" hidden="1" customHeight="1" outlineLevel="1" x14ac:dyDescent="0.25">
      <c r="D58" s="40" t="s">
        <v>22</v>
      </c>
      <c r="E58" s="376">
        <v>31</v>
      </c>
      <c r="F58" s="57"/>
      <c r="G58" s="377"/>
      <c r="H58" s="377"/>
      <c r="I58" s="377"/>
      <c r="J58" s="377"/>
      <c r="K58" s="422"/>
      <c r="L58" s="422"/>
      <c r="M58" s="422"/>
      <c r="N58" s="66"/>
      <c r="O58" s="424"/>
      <c r="P58" s="388"/>
      <c r="Q58" s="436"/>
      <c r="R58" s="426"/>
      <c r="S58" s="437"/>
      <c r="T58" s="437"/>
      <c r="U58" s="430"/>
      <c r="V58" s="58"/>
      <c r="W58" s="388"/>
      <c r="X58" s="388"/>
      <c r="Y58" s="388"/>
      <c r="Z58" s="469"/>
      <c r="AA58" s="470"/>
      <c r="AB58" s="388"/>
      <c r="AC58" s="388"/>
      <c r="AD58" s="471"/>
      <c r="AE58" s="58"/>
      <c r="AF58" s="388"/>
      <c r="AG58" s="388"/>
      <c r="AH58" s="388"/>
      <c r="AI58" s="436"/>
      <c r="AJ58" s="470"/>
      <c r="AK58" s="388"/>
      <c r="AL58" s="388"/>
      <c r="AM58" s="430"/>
    </row>
    <row r="59" spans="2:39" ht="15" hidden="1" customHeight="1" outlineLevel="1" x14ac:dyDescent="0.25">
      <c r="D59" s="40" t="s">
        <v>23</v>
      </c>
      <c r="E59" s="376">
        <v>30</v>
      </c>
      <c r="F59" s="57"/>
      <c r="G59" s="377"/>
      <c r="H59" s="377"/>
      <c r="I59" s="377"/>
      <c r="J59" s="377"/>
      <c r="K59" s="422"/>
      <c r="L59" s="422"/>
      <c r="M59" s="422"/>
      <c r="N59" s="66"/>
      <c r="O59" s="424"/>
      <c r="P59" s="388"/>
      <c r="Q59" s="436"/>
      <c r="R59" s="426"/>
      <c r="S59" s="437"/>
      <c r="T59" s="437"/>
      <c r="U59" s="430"/>
      <c r="V59" s="58"/>
      <c r="W59" s="388"/>
      <c r="X59" s="388"/>
      <c r="Y59" s="388"/>
      <c r="Z59" s="469"/>
      <c r="AA59" s="470"/>
      <c r="AB59" s="388"/>
      <c r="AC59" s="388"/>
      <c r="AD59" s="471"/>
      <c r="AE59" s="58"/>
      <c r="AF59" s="388"/>
      <c r="AG59" s="388"/>
      <c r="AH59" s="388"/>
      <c r="AI59" s="436"/>
      <c r="AJ59" s="470"/>
      <c r="AK59" s="388"/>
      <c r="AL59" s="388"/>
      <c r="AM59" s="430"/>
    </row>
    <row r="60" spans="2:39" ht="15" hidden="1" customHeight="1" outlineLevel="1" x14ac:dyDescent="0.25">
      <c r="D60" s="40" t="s">
        <v>24</v>
      </c>
      <c r="E60" s="376">
        <v>31</v>
      </c>
      <c r="F60" s="57"/>
      <c r="G60" s="377"/>
      <c r="H60" s="377"/>
      <c r="I60" s="377"/>
      <c r="J60" s="377"/>
      <c r="K60" s="422"/>
      <c r="L60" s="422"/>
      <c r="M60" s="422"/>
      <c r="N60" s="66"/>
      <c r="O60" s="424"/>
      <c r="P60" s="388"/>
      <c r="Q60" s="436"/>
      <c r="R60" s="426"/>
      <c r="S60" s="437"/>
      <c r="T60" s="437"/>
      <c r="U60" s="430"/>
      <c r="V60" s="58"/>
      <c r="W60" s="388"/>
      <c r="X60" s="388"/>
      <c r="Y60" s="388"/>
      <c r="Z60" s="469"/>
      <c r="AA60" s="470"/>
      <c r="AB60" s="388"/>
      <c r="AC60" s="388"/>
      <c r="AD60" s="471"/>
      <c r="AE60" s="58"/>
      <c r="AF60" s="388"/>
      <c r="AG60" s="388"/>
      <c r="AH60" s="388"/>
      <c r="AI60" s="436"/>
      <c r="AJ60" s="470"/>
      <c r="AK60" s="388"/>
      <c r="AL60" s="388"/>
      <c r="AM60" s="430"/>
    </row>
    <row r="61" spans="2:39" ht="15" hidden="1" customHeight="1" outlineLevel="1" x14ac:dyDescent="0.25">
      <c r="D61" s="40" t="s">
        <v>25</v>
      </c>
      <c r="E61" s="376">
        <v>31</v>
      </c>
      <c r="F61" s="57"/>
      <c r="G61" s="377"/>
      <c r="H61" s="377"/>
      <c r="I61" s="377"/>
      <c r="J61" s="377"/>
      <c r="K61" s="422"/>
      <c r="L61" s="422"/>
      <c r="M61" s="422"/>
      <c r="N61" s="66"/>
      <c r="O61" s="424"/>
      <c r="P61" s="388"/>
      <c r="Q61" s="436"/>
      <c r="R61" s="426"/>
      <c r="S61" s="437"/>
      <c r="T61" s="437"/>
      <c r="U61" s="430"/>
      <c r="V61" s="58"/>
      <c r="W61" s="388"/>
      <c r="X61" s="388"/>
      <c r="Y61" s="388"/>
      <c r="Z61" s="469"/>
      <c r="AA61" s="470"/>
      <c r="AB61" s="388"/>
      <c r="AC61" s="388"/>
      <c r="AD61" s="471"/>
      <c r="AE61" s="58"/>
      <c r="AF61" s="388"/>
      <c r="AG61" s="388"/>
      <c r="AH61" s="388"/>
      <c r="AI61" s="436"/>
      <c r="AJ61" s="470"/>
      <c r="AK61" s="388"/>
      <c r="AL61" s="388"/>
      <c r="AM61" s="430"/>
    </row>
    <row r="62" spans="2:39" ht="15" hidden="1" customHeight="1" outlineLevel="1" x14ac:dyDescent="0.25">
      <c r="D62" s="40" t="s">
        <v>26</v>
      </c>
      <c r="E62" s="376">
        <v>30</v>
      </c>
      <c r="F62" s="57"/>
      <c r="G62" s="377"/>
      <c r="H62" s="377"/>
      <c r="I62" s="377"/>
      <c r="J62" s="377"/>
      <c r="K62" s="422"/>
      <c r="L62" s="422"/>
      <c r="M62" s="422"/>
      <c r="N62" s="66"/>
      <c r="O62" s="424"/>
      <c r="P62" s="388"/>
      <c r="Q62" s="436"/>
      <c r="R62" s="426"/>
      <c r="S62" s="437"/>
      <c r="T62" s="437"/>
      <c r="U62" s="430"/>
      <c r="V62" s="58"/>
      <c r="W62" s="388"/>
      <c r="X62" s="388"/>
      <c r="Y62" s="388"/>
      <c r="Z62" s="469"/>
      <c r="AA62" s="470"/>
      <c r="AB62" s="388"/>
      <c r="AC62" s="388"/>
      <c r="AD62" s="471"/>
      <c r="AE62" s="58"/>
      <c r="AF62" s="388"/>
      <c r="AG62" s="388"/>
      <c r="AH62" s="388"/>
      <c r="AI62" s="436"/>
      <c r="AJ62" s="470"/>
      <c r="AK62" s="388"/>
      <c r="AL62" s="388"/>
      <c r="AM62" s="430"/>
    </row>
    <row r="63" spans="2:39" ht="15" hidden="1" customHeight="1" outlineLevel="1" x14ac:dyDescent="0.25">
      <c r="D63" s="40" t="s">
        <v>27</v>
      </c>
      <c r="E63" s="376">
        <v>31</v>
      </c>
      <c r="F63" s="57"/>
      <c r="G63" s="377"/>
      <c r="H63" s="377"/>
      <c r="I63" s="377"/>
      <c r="J63" s="377"/>
      <c r="K63" s="422"/>
      <c r="L63" s="422"/>
      <c r="M63" s="422"/>
      <c r="N63" s="66"/>
      <c r="O63" s="424"/>
      <c r="P63" s="388"/>
      <c r="Q63" s="436"/>
      <c r="R63" s="426"/>
      <c r="S63" s="437"/>
      <c r="T63" s="437"/>
      <c r="U63" s="430"/>
      <c r="V63" s="58"/>
      <c r="W63" s="388"/>
      <c r="X63" s="388"/>
      <c r="Y63" s="388"/>
      <c r="Z63" s="469"/>
      <c r="AA63" s="470"/>
      <c r="AB63" s="388"/>
      <c r="AC63" s="388"/>
      <c r="AD63" s="471"/>
      <c r="AE63" s="58"/>
      <c r="AF63" s="388"/>
      <c r="AG63" s="388"/>
      <c r="AH63" s="388"/>
      <c r="AI63" s="436"/>
      <c r="AJ63" s="470"/>
      <c r="AK63" s="388"/>
      <c r="AL63" s="388"/>
      <c r="AM63" s="430"/>
    </row>
    <row r="64" spans="2:39" ht="15" hidden="1" customHeight="1" outlineLevel="1" x14ac:dyDescent="0.25">
      <c r="D64" s="40" t="s">
        <v>28</v>
      </c>
      <c r="E64" s="376">
        <v>30</v>
      </c>
      <c r="F64" s="57"/>
      <c r="G64" s="377"/>
      <c r="H64" s="377"/>
      <c r="I64" s="377"/>
      <c r="J64" s="377"/>
      <c r="K64" s="422"/>
      <c r="L64" s="422"/>
      <c r="M64" s="422"/>
      <c r="N64" s="66"/>
      <c r="O64" s="424"/>
      <c r="P64" s="388"/>
      <c r="Q64" s="436"/>
      <c r="R64" s="426"/>
      <c r="S64" s="437"/>
      <c r="T64" s="437"/>
      <c r="U64" s="430"/>
      <c r="V64" s="58"/>
      <c r="W64" s="388"/>
      <c r="X64" s="388"/>
      <c r="Y64" s="388"/>
      <c r="Z64" s="469"/>
      <c r="AA64" s="470"/>
      <c r="AB64" s="388"/>
      <c r="AC64" s="388"/>
      <c r="AD64" s="471"/>
      <c r="AE64" s="58"/>
      <c r="AF64" s="388"/>
      <c r="AG64" s="388"/>
      <c r="AH64" s="388"/>
      <c r="AI64" s="436"/>
      <c r="AJ64" s="470"/>
      <c r="AK64" s="388"/>
      <c r="AL64" s="388"/>
      <c r="AM64" s="430"/>
    </row>
    <row r="65" spans="1:39" ht="15" hidden="1" customHeight="1" outlineLevel="1" x14ac:dyDescent="0.25">
      <c r="D65" s="40" t="s">
        <v>29</v>
      </c>
      <c r="E65" s="376">
        <v>31</v>
      </c>
      <c r="F65" s="57"/>
      <c r="G65" s="377"/>
      <c r="H65" s="377"/>
      <c r="I65" s="377"/>
      <c r="J65" s="377"/>
      <c r="K65" s="422"/>
      <c r="L65" s="422"/>
      <c r="M65" s="422"/>
      <c r="N65" s="66"/>
      <c r="O65" s="424"/>
      <c r="P65" s="388"/>
      <c r="Q65" s="436"/>
      <c r="R65" s="426"/>
      <c r="S65" s="437"/>
      <c r="T65" s="437"/>
      <c r="U65" s="430"/>
      <c r="V65" s="41"/>
      <c r="W65" s="388"/>
      <c r="X65" s="388"/>
      <c r="Y65" s="388"/>
      <c r="Z65" s="469"/>
      <c r="AA65" s="470"/>
      <c r="AB65" s="388"/>
      <c r="AC65" s="388"/>
      <c r="AD65" s="471"/>
      <c r="AE65" s="58"/>
      <c r="AF65" s="388"/>
      <c r="AG65" s="388"/>
      <c r="AH65" s="388"/>
      <c r="AI65" s="436"/>
      <c r="AJ65" s="470"/>
      <c r="AK65" s="388"/>
      <c r="AL65" s="388"/>
      <c r="AM65" s="430"/>
    </row>
    <row r="66" spans="1:39" ht="15" hidden="1" customHeight="1" outlineLevel="1" x14ac:dyDescent="0.25">
      <c r="B66" s="43"/>
      <c r="C66" s="43"/>
      <c r="D66" s="44"/>
      <c r="E66" s="60"/>
      <c r="F66" s="60"/>
      <c r="G66" s="45">
        <f>SUM(G54:G65)</f>
        <v>0</v>
      </c>
      <c r="H66" s="45">
        <f t="shared" ref="H66:M66" si="14">SUM(H54:H65)</f>
        <v>0</v>
      </c>
      <c r="I66" s="45">
        <f t="shared" si="14"/>
        <v>0</v>
      </c>
      <c r="J66" s="45">
        <f t="shared" si="14"/>
        <v>0</v>
      </c>
      <c r="K66" s="45">
        <f t="shared" si="14"/>
        <v>0</v>
      </c>
      <c r="L66" s="45">
        <f t="shared" si="14"/>
        <v>0</v>
      </c>
      <c r="M66" s="45">
        <f t="shared" si="14"/>
        <v>0</v>
      </c>
      <c r="N66" s="45"/>
      <c r="O66" s="390">
        <f>SUM(O54:O65)</f>
        <v>0</v>
      </c>
      <c r="P66" s="45"/>
      <c r="Q66" s="391">
        <f>SUM(Q54:Q65)</f>
        <v>0</v>
      </c>
      <c r="R66" s="390">
        <f>SUM(R54:R65)</f>
        <v>0</v>
      </c>
      <c r="S66" s="438">
        <f>SUM(S54:S65)</f>
        <v>0</v>
      </c>
      <c r="T66" s="438"/>
      <c r="U66" s="391">
        <f>SUM(U54:U65)</f>
        <v>0</v>
      </c>
      <c r="V66" s="45"/>
      <c r="W66" s="45">
        <f t="shared" ref="W66" si="15">SUM(W54:W65)</f>
        <v>0</v>
      </c>
      <c r="X66" s="45"/>
      <c r="Y66" s="45"/>
      <c r="Z66" s="45">
        <f t="shared" ref="Z66:AA66" si="16">SUM(Z54:Z65)</f>
        <v>0</v>
      </c>
      <c r="AA66" s="45">
        <f t="shared" si="16"/>
        <v>0</v>
      </c>
      <c r="AB66" s="45"/>
      <c r="AC66" s="45"/>
      <c r="AD66" s="45">
        <f t="shared" ref="AD66" si="17">SUM(AD54:AD65)</f>
        <v>0</v>
      </c>
      <c r="AE66" s="46"/>
      <c r="AF66" s="45"/>
      <c r="AG66" s="45">
        <f>SUM(AG54:AG65)</f>
        <v>0</v>
      </c>
      <c r="AH66" s="45">
        <f>SUM(AH54:AH65)</f>
        <v>0</v>
      </c>
      <c r="AI66" s="391">
        <f t="shared" ref="AI66" si="18">SUM(AI54:AI65)</f>
        <v>0</v>
      </c>
      <c r="AJ66" s="45"/>
      <c r="AK66" s="45">
        <f>SUM(AK54:AK65)</f>
        <v>0</v>
      </c>
      <c r="AL66" s="45">
        <f>SUM(AL54:AL65)</f>
        <v>0</v>
      </c>
      <c r="AM66" s="391">
        <f t="shared" ref="AM66" si="19">SUM(AM54:AM65)</f>
        <v>0</v>
      </c>
    </row>
    <row r="67" spans="1:39" ht="15.75" hidden="1" customHeight="1" outlineLevel="1" x14ac:dyDescent="0.25">
      <c r="B67" s="396"/>
      <c r="C67" s="397"/>
      <c r="D67" s="398" t="s">
        <v>34</v>
      </c>
      <c r="G67" s="48">
        <v>0.15</v>
      </c>
      <c r="H67" s="49">
        <f>H66*(1+G67)</f>
        <v>0</v>
      </c>
      <c r="I67" s="49"/>
      <c r="J67" s="49">
        <f>J66*(1+G67)</f>
        <v>0</v>
      </c>
      <c r="K67" s="50"/>
      <c r="L67" s="51"/>
      <c r="M67" s="49">
        <f>M66*(1+G67)</f>
        <v>0</v>
      </c>
      <c r="N67" s="42"/>
      <c r="O67" s="400">
        <v>0.21</v>
      </c>
      <c r="P67" s="48"/>
      <c r="Q67" s="401">
        <f>Q66*(1+O67)</f>
        <v>0</v>
      </c>
      <c r="R67" s="400">
        <v>0.21</v>
      </c>
      <c r="S67" s="400"/>
      <c r="T67" s="400"/>
      <c r="U67" s="401">
        <f>U66*(1+R67)</f>
        <v>0</v>
      </c>
      <c r="V67" s="42"/>
      <c r="W67" s="48">
        <v>0.15</v>
      </c>
      <c r="X67" s="48"/>
      <c r="Y67" s="48"/>
      <c r="Z67" s="49">
        <f>Z66*(1+W67)</f>
        <v>0</v>
      </c>
      <c r="AA67" s="48">
        <v>0.15</v>
      </c>
      <c r="AB67" s="48"/>
      <c r="AC67" s="48"/>
      <c r="AD67" s="49">
        <f>AD66*(1+AA67)</f>
        <v>0</v>
      </c>
      <c r="AE67" s="42"/>
      <c r="AF67" s="48">
        <v>0.21</v>
      </c>
      <c r="AG67" s="48"/>
      <c r="AH67" s="42"/>
      <c r="AI67" s="401">
        <f>AI66*(1+AF67)</f>
        <v>0</v>
      </c>
      <c r="AJ67" s="48">
        <v>0.21</v>
      </c>
      <c r="AK67" s="48"/>
      <c r="AL67" s="42"/>
      <c r="AM67" s="401">
        <f>AM66*(1+AJ67)</f>
        <v>0</v>
      </c>
    </row>
    <row r="68" spans="1:39" collapsed="1" x14ac:dyDescent="0.25"/>
    <row r="69" spans="1:39" x14ac:dyDescent="0.25">
      <c r="B69" s="33" t="s">
        <v>35</v>
      </c>
      <c r="Q69" s="440"/>
      <c r="U69" s="440"/>
      <c r="V69" s="67"/>
      <c r="W69" s="35"/>
      <c r="X69" s="35"/>
      <c r="Y69" s="35"/>
      <c r="Z69" s="35"/>
      <c r="AA69" s="35"/>
      <c r="AB69" s="35"/>
      <c r="AC69" s="35"/>
      <c r="AD69" s="35"/>
      <c r="AE69" s="67"/>
      <c r="AF69" s="35"/>
      <c r="AG69" s="35"/>
      <c r="AH69" s="35"/>
      <c r="AI69" s="440"/>
      <c r="AJ69" s="35"/>
      <c r="AK69" s="35"/>
      <c r="AL69" s="35"/>
      <c r="AM69" s="440"/>
    </row>
    <row r="70" spans="1:39" x14ac:dyDescent="0.25">
      <c r="B70" s="68"/>
      <c r="O70" s="361" t="s">
        <v>199</v>
      </c>
      <c r="Q70" s="362" t="s">
        <v>224</v>
      </c>
      <c r="R70" s="439" t="s">
        <v>199</v>
      </c>
      <c r="U70" s="473" t="s">
        <v>225</v>
      </c>
      <c r="W70" s="32" t="s">
        <v>202</v>
      </c>
      <c r="Z70" s="32" t="s">
        <v>226</v>
      </c>
      <c r="AA70" s="32" t="s">
        <v>202</v>
      </c>
      <c r="AC70" s="474" t="s">
        <v>227</v>
      </c>
      <c r="AD70" s="32" t="s">
        <v>228</v>
      </c>
      <c r="AF70" s="32" t="s">
        <v>204</v>
      </c>
      <c r="AI70" s="475" t="s">
        <v>229</v>
      </c>
    </row>
    <row r="71" spans="1:39" x14ac:dyDescent="0.25">
      <c r="B71" s="68"/>
      <c r="W71" s="32" t="s">
        <v>206</v>
      </c>
      <c r="Z71" s="32" t="s">
        <v>230</v>
      </c>
      <c r="AA71" s="32" t="s">
        <v>206</v>
      </c>
      <c r="AD71" s="439" t="s">
        <v>231</v>
      </c>
      <c r="AJ71" s="32" t="s">
        <v>204</v>
      </c>
      <c r="AM71" s="362" t="s">
        <v>232</v>
      </c>
    </row>
    <row r="72" spans="1:39" x14ac:dyDescent="0.25">
      <c r="B72" s="68"/>
    </row>
    <row r="73" spans="1:39" x14ac:dyDescent="0.25">
      <c r="A73" s="68"/>
      <c r="B73" s="68"/>
    </row>
    <row r="74" spans="1:39" x14ac:dyDescent="0.25">
      <c r="B74" s="68"/>
    </row>
    <row r="75" spans="1:39" x14ac:dyDescent="0.25">
      <c r="B75" s="69"/>
    </row>
    <row r="76" spans="1:39" x14ac:dyDescent="0.25">
      <c r="B76" s="69"/>
    </row>
    <row r="77" spans="1:39" x14ac:dyDescent="0.25">
      <c r="B77" s="69"/>
    </row>
    <row r="78" spans="1:39" x14ac:dyDescent="0.25">
      <c r="B78" s="69"/>
    </row>
    <row r="79" spans="1:39" x14ac:dyDescent="0.25">
      <c r="B79" s="69"/>
    </row>
  </sheetData>
  <mergeCells count="174">
    <mergeCell ref="AF2:AI2"/>
    <mergeCell ref="AJ2:AM2"/>
    <mergeCell ref="G3:H3"/>
    <mergeCell ref="I3:J3"/>
    <mergeCell ref="K3:M3"/>
    <mergeCell ref="O3:Q3"/>
    <mergeCell ref="R3:U3"/>
    <mergeCell ref="W3:Z3"/>
    <mergeCell ref="AA3:AD3"/>
    <mergeCell ref="AF3:AI3"/>
    <mergeCell ref="G2:M2"/>
    <mergeCell ref="O2:Q2"/>
    <mergeCell ref="R2:U2"/>
    <mergeCell ref="W2:Z2"/>
    <mergeCell ref="AA2:AD2"/>
    <mergeCell ref="AJ3:AM3"/>
    <mergeCell ref="B4:C5"/>
    <mergeCell ref="O6:O16"/>
    <mergeCell ref="Q6:Q16"/>
    <mergeCell ref="R6:R16"/>
    <mergeCell ref="S6:S16"/>
    <mergeCell ref="U6:U16"/>
    <mergeCell ref="W6:W8"/>
    <mergeCell ref="X6:X8"/>
    <mergeCell ref="Y6:Y8"/>
    <mergeCell ref="D2:D4"/>
    <mergeCell ref="AH6:AH8"/>
    <mergeCell ref="AI6:AI8"/>
    <mergeCell ref="AJ6:AJ8"/>
    <mergeCell ref="AL6:AL8"/>
    <mergeCell ref="AM6:AM8"/>
    <mergeCell ref="W9:W11"/>
    <mergeCell ref="X9:X11"/>
    <mergeCell ref="Y9:Y11"/>
    <mergeCell ref="Z9:Z11"/>
    <mergeCell ref="AA9:AA11"/>
    <mergeCell ref="Z6:Z8"/>
    <mergeCell ref="AA6:AA8"/>
    <mergeCell ref="AB6:AB8"/>
    <mergeCell ref="AC6:AC8"/>
    <mergeCell ref="AD6:AD8"/>
    <mergeCell ref="AF6:AF8"/>
    <mergeCell ref="AJ9:AJ17"/>
    <mergeCell ref="AL9:AL17"/>
    <mergeCell ref="AM9:AM17"/>
    <mergeCell ref="W12:W14"/>
    <mergeCell ref="X12:X14"/>
    <mergeCell ref="Y12:Y14"/>
    <mergeCell ref="Z12:Z14"/>
    <mergeCell ref="AA12:AA14"/>
    <mergeCell ref="AB12:AB14"/>
    <mergeCell ref="AC12:AC14"/>
    <mergeCell ref="AB9:AB11"/>
    <mergeCell ref="AC9:AC11"/>
    <mergeCell ref="AD9:AD11"/>
    <mergeCell ref="AF9:AF17"/>
    <mergeCell ref="AH9:AH17"/>
    <mergeCell ref="AI9:AI17"/>
    <mergeCell ref="AD12:AD14"/>
    <mergeCell ref="AC15:AC17"/>
    <mergeCell ref="AD15:AD17"/>
    <mergeCell ref="W15:W17"/>
    <mergeCell ref="X15:X17"/>
    <mergeCell ref="Y15:Y17"/>
    <mergeCell ref="Z15:Z17"/>
    <mergeCell ref="AA15:AA17"/>
    <mergeCell ref="AB15:AB17"/>
    <mergeCell ref="AH22:AH24"/>
    <mergeCell ref="AI22:AI24"/>
    <mergeCell ref="AJ22:AJ24"/>
    <mergeCell ref="AL22:AL24"/>
    <mergeCell ref="AM22:AM24"/>
    <mergeCell ref="R23:R28"/>
    <mergeCell ref="S23:S28"/>
    <mergeCell ref="AB25:AB27"/>
    <mergeCell ref="AC25:AC27"/>
    <mergeCell ref="AD25:AD27"/>
    <mergeCell ref="Z22:Z24"/>
    <mergeCell ref="AA22:AA24"/>
    <mergeCell ref="AB22:AB24"/>
    <mergeCell ref="AC22:AC24"/>
    <mergeCell ref="AD22:AD24"/>
    <mergeCell ref="AF22:AF24"/>
    <mergeCell ref="T22:T32"/>
    <mergeCell ref="U22:U32"/>
    <mergeCell ref="W22:W24"/>
    <mergeCell ref="X22:X24"/>
    <mergeCell ref="Y22:Y24"/>
    <mergeCell ref="W28:W30"/>
    <mergeCell ref="X28:X30"/>
    <mergeCell ref="Y28:Y30"/>
    <mergeCell ref="AF25:AF33"/>
    <mergeCell ref="AH25:AH33"/>
    <mergeCell ref="AI25:AI33"/>
    <mergeCell ref="AJ25:AJ33"/>
    <mergeCell ref="AL25:AL33"/>
    <mergeCell ref="AM25:AM33"/>
    <mergeCell ref="O25:O27"/>
    <mergeCell ref="W25:W27"/>
    <mergeCell ref="X25:X27"/>
    <mergeCell ref="Y25:Y27"/>
    <mergeCell ref="Z25:Z27"/>
    <mergeCell ref="AA25:AA27"/>
    <mergeCell ref="Q22:Q32"/>
    <mergeCell ref="Y31:Y33"/>
    <mergeCell ref="Z28:Z30"/>
    <mergeCell ref="AA28:AA30"/>
    <mergeCell ref="AB28:AB30"/>
    <mergeCell ref="AC28:AC30"/>
    <mergeCell ref="AD28:AD30"/>
    <mergeCell ref="O30:O31"/>
    <mergeCell ref="R30:R32"/>
    <mergeCell ref="S30:S32"/>
    <mergeCell ref="W31:W33"/>
    <mergeCell ref="X31:X33"/>
    <mergeCell ref="Z31:Z33"/>
    <mergeCell ref="AA31:AA33"/>
    <mergeCell ref="AB31:AB33"/>
    <mergeCell ref="AC31:AC33"/>
    <mergeCell ref="AD31:AD33"/>
    <mergeCell ref="Q38:Q48"/>
    <mergeCell ref="R38:R42"/>
    <mergeCell ref="S38:S42"/>
    <mergeCell ref="T38:T48"/>
    <mergeCell ref="U38:U48"/>
    <mergeCell ref="W44:W46"/>
    <mergeCell ref="X44:X46"/>
    <mergeCell ref="Y44:Y46"/>
    <mergeCell ref="Z44:Z46"/>
    <mergeCell ref="AA44:AA46"/>
    <mergeCell ref="AB44:AB46"/>
    <mergeCell ref="AC44:AC46"/>
    <mergeCell ref="AD44:AD46"/>
    <mergeCell ref="AD41:AD43"/>
    <mergeCell ref="W47:W49"/>
    <mergeCell ref="X47:X49"/>
    <mergeCell ref="Y47:Y49"/>
    <mergeCell ref="Z47:Z49"/>
    <mergeCell ref="AA47:AA49"/>
    <mergeCell ref="AJ38:AJ40"/>
    <mergeCell ref="AL38:AL40"/>
    <mergeCell ref="AM38:AM40"/>
    <mergeCell ref="W41:W43"/>
    <mergeCell ref="X41:X43"/>
    <mergeCell ref="Y41:Y43"/>
    <mergeCell ref="Z41:Z43"/>
    <mergeCell ref="AA41:AA43"/>
    <mergeCell ref="AB41:AB43"/>
    <mergeCell ref="AC41:AC43"/>
    <mergeCell ref="AC38:AC40"/>
    <mergeCell ref="AD38:AD40"/>
    <mergeCell ref="AF38:AF40"/>
    <mergeCell ref="AG38:AG40"/>
    <mergeCell ref="AH38:AH40"/>
    <mergeCell ref="AI38:AI40"/>
    <mergeCell ref="W38:W40"/>
    <mergeCell ref="X38:X40"/>
    <mergeCell ref="Y38:Y40"/>
    <mergeCell ref="Z38:Z40"/>
    <mergeCell ref="AA38:AA40"/>
    <mergeCell ref="AB38:AB40"/>
    <mergeCell ref="AL41:AL49"/>
    <mergeCell ref="AM41:AM49"/>
    <mergeCell ref="AB47:AB49"/>
    <mergeCell ref="AF41:AF49"/>
    <mergeCell ref="AG41:AG49"/>
    <mergeCell ref="AH41:AH49"/>
    <mergeCell ref="AI41:AI49"/>
    <mergeCell ref="AJ41:AJ49"/>
    <mergeCell ref="AC47:AC49"/>
    <mergeCell ref="AD47:AD49"/>
    <mergeCell ref="AF54:AF56"/>
    <mergeCell ref="AH54:AH56"/>
    <mergeCell ref="AI54:AI56"/>
  </mergeCells>
  <conditionalFormatting sqref="G6:G17 G22:G33 G38:G49 I6:I17 I22:I33 I38:I49 K38:K49 K22:K33 K6:K17">
    <cfRule type="cellIs" dxfId="50" priority="11" operator="greaterThan">
      <formula>0</formula>
    </cfRule>
  </conditionalFormatting>
  <conditionalFormatting sqref="O6 O22:O25 O38:O49 O17 O28:O30 O32:O33">
    <cfRule type="cellIs" dxfId="49" priority="10" operator="greaterThan">
      <formula>0</formula>
    </cfRule>
  </conditionalFormatting>
  <conditionalFormatting sqref="G54:G65 I54:I65 K54:K65">
    <cfRule type="cellIs" dxfId="48" priority="9" operator="greaterThan">
      <formula>0</formula>
    </cfRule>
  </conditionalFormatting>
  <conditionalFormatting sqref="O54:O65">
    <cfRule type="cellIs" dxfId="47" priority="8" operator="greaterThan">
      <formula>0</formula>
    </cfRule>
  </conditionalFormatting>
  <conditionalFormatting sqref="AF6:AF17 AH6:AH17 AF22:AF33 AH22:AH33 AF38:AF49 AH38:AH49 AF54:AF65 AH54:AH65 AJ6:AJ17 AJ22:AJ33 AJ38:AJ49 AJ54:AJ65 AL6:AL17 AL22:AL33 AL38:AL49 AL54:AL65">
    <cfRule type="cellIs" dxfId="46" priority="7" operator="greaterThan">
      <formula>0</formula>
    </cfRule>
  </conditionalFormatting>
  <conditionalFormatting sqref="R54:R65">
    <cfRule type="cellIs" dxfId="45" priority="6" operator="greaterThan">
      <formula>0</formula>
    </cfRule>
  </conditionalFormatting>
  <conditionalFormatting sqref="S54:T65">
    <cfRule type="cellIs" dxfId="44" priority="5" operator="greaterThan">
      <formula>0</formula>
    </cfRule>
  </conditionalFormatting>
  <conditionalFormatting sqref="R6:S6 R22:S23 R38:S49 R54:S65 R17:S17 R29:S30 R33:S33">
    <cfRule type="cellIs" dxfId="43" priority="4" operator="greaterThan">
      <formula>0</formula>
    </cfRule>
  </conditionalFormatting>
  <conditionalFormatting sqref="W6:W9 AA6:AA9 W22 AA22 W54:W65 AA54:AA65 W12 AA12 W15 AA15 W25 AA25 W28 AA28 W31 AA31 W44 W41 W38">
    <cfRule type="cellIs" dxfId="42" priority="3" operator="greaterThan">
      <formula>0</formula>
    </cfRule>
  </conditionalFormatting>
  <conditionalFormatting sqref="W47">
    <cfRule type="cellIs" dxfId="41" priority="2" operator="greaterThan">
      <formula>0</formula>
    </cfRule>
  </conditionalFormatting>
  <conditionalFormatting sqref="AA47 AA44 AA41 AA38">
    <cfRule type="cellIs" dxfId="40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AB82"/>
  <sheetViews>
    <sheetView zoomScale="85" zoomScaleNormal="85" workbookViewId="0">
      <pane xSplit="5" ySplit="5" topLeftCell="F6" activePane="bottomRight" state="frozen"/>
      <selection activeCell="AA23" sqref="AA23:AA33"/>
      <selection pane="topRight" activeCell="AA23" sqref="AA23:AA33"/>
      <selection pane="bottomLeft" activeCell="AA23" sqref="AA23:AA33"/>
      <selection pane="bottomRight" activeCell="G1" sqref="G1:H1048576"/>
    </sheetView>
  </sheetViews>
  <sheetFormatPr defaultColWidth="10.140625" defaultRowHeight="15" outlineLevelRow="1" outlineLevelCol="2" x14ac:dyDescent="0.25"/>
  <cols>
    <col min="1" max="1" width="1" style="32" customWidth="1"/>
    <col min="2" max="2" width="12" style="32" customWidth="1"/>
    <col min="3" max="3" width="10.140625" style="32" customWidth="1"/>
    <col min="4" max="4" width="14" style="32" customWidth="1"/>
    <col min="5" max="5" width="5" style="360" customWidth="1"/>
    <col min="6" max="6" width="3.140625" style="34" customWidth="1"/>
    <col min="7" max="8" width="11.5703125" style="32" hidden="1" customWidth="1" outlineLevel="1"/>
    <col min="9" max="9" width="11.5703125" style="32" customWidth="1" collapsed="1"/>
    <col min="10" max="10" width="11.5703125" style="32" customWidth="1"/>
    <col min="11" max="11" width="10" style="32" hidden="1" customWidth="1" outlineLevel="1"/>
    <col min="12" max="12" width="10" style="32" hidden="1" customWidth="1" outlineLevel="2"/>
    <col min="13" max="13" width="10" style="32" hidden="1" customWidth="1" outlineLevel="1"/>
    <col min="14" max="14" width="3.7109375" style="34" customWidth="1" collapsed="1"/>
    <col min="15" max="15" width="12.7109375" style="361" customWidth="1"/>
    <col min="16" max="16" width="12" style="362" customWidth="1"/>
    <col min="17" max="18" width="12.7109375" style="361" customWidth="1"/>
    <col min="19" max="19" width="12.7109375" style="361" hidden="1" customWidth="1" outlineLevel="1"/>
    <col min="20" max="20" width="11.85546875" style="362" customWidth="1" collapsed="1"/>
    <col min="21" max="22" width="12.7109375" style="361" customWidth="1"/>
    <col min="23" max="23" width="12" style="362" customWidth="1"/>
    <col min="24" max="24" width="3.7109375" style="34" customWidth="1"/>
    <col min="25" max="25" width="14" style="32" customWidth="1"/>
    <col min="26" max="27" width="7.7109375" style="32" hidden="1" customWidth="1" outlineLevel="1"/>
    <col min="28" max="28" width="14" style="32" customWidth="1" collapsed="1"/>
    <col min="29" max="264" width="10.140625" style="32"/>
    <col min="265" max="277" width="14" style="32" customWidth="1"/>
    <col min="278" max="520" width="10.140625" style="32"/>
    <col min="521" max="533" width="14" style="32" customWidth="1"/>
    <col min="534" max="776" width="10.140625" style="32"/>
    <col min="777" max="789" width="14" style="32" customWidth="1"/>
    <col min="790" max="1032" width="10.140625" style="32"/>
    <col min="1033" max="1045" width="14" style="32" customWidth="1"/>
    <col min="1046" max="1288" width="10.140625" style="32"/>
    <col min="1289" max="1301" width="14" style="32" customWidth="1"/>
    <col min="1302" max="1544" width="10.140625" style="32"/>
    <col min="1545" max="1557" width="14" style="32" customWidth="1"/>
    <col min="1558" max="1800" width="10.140625" style="32"/>
    <col min="1801" max="1813" width="14" style="32" customWidth="1"/>
    <col min="1814" max="2056" width="10.140625" style="32"/>
    <col min="2057" max="2069" width="14" style="32" customWidth="1"/>
    <col min="2070" max="2312" width="10.140625" style="32"/>
    <col min="2313" max="2325" width="14" style="32" customWidth="1"/>
    <col min="2326" max="2568" width="10.140625" style="32"/>
    <col min="2569" max="2581" width="14" style="32" customWidth="1"/>
    <col min="2582" max="2824" width="10.140625" style="32"/>
    <col min="2825" max="2837" width="14" style="32" customWidth="1"/>
    <col min="2838" max="3080" width="10.140625" style="32"/>
    <col min="3081" max="3093" width="14" style="32" customWidth="1"/>
    <col min="3094" max="3336" width="10.140625" style="32"/>
    <col min="3337" max="3349" width="14" style="32" customWidth="1"/>
    <col min="3350" max="3592" width="10.140625" style="32"/>
    <col min="3593" max="3605" width="14" style="32" customWidth="1"/>
    <col min="3606" max="3848" width="10.140625" style="32"/>
    <col min="3849" max="3861" width="14" style="32" customWidth="1"/>
    <col min="3862" max="4104" width="10.140625" style="32"/>
    <col min="4105" max="4117" width="14" style="32" customWidth="1"/>
    <col min="4118" max="4360" width="10.140625" style="32"/>
    <col min="4361" max="4373" width="14" style="32" customWidth="1"/>
    <col min="4374" max="4616" width="10.140625" style="32"/>
    <col min="4617" max="4629" width="14" style="32" customWidth="1"/>
    <col min="4630" max="4872" width="10.140625" style="32"/>
    <col min="4873" max="4885" width="14" style="32" customWidth="1"/>
    <col min="4886" max="5128" width="10.140625" style="32"/>
    <col min="5129" max="5141" width="14" style="32" customWidth="1"/>
    <col min="5142" max="5384" width="10.140625" style="32"/>
    <col min="5385" max="5397" width="14" style="32" customWidth="1"/>
    <col min="5398" max="5640" width="10.140625" style="32"/>
    <col min="5641" max="5653" width="14" style="32" customWidth="1"/>
    <col min="5654" max="5896" width="10.140625" style="32"/>
    <col min="5897" max="5909" width="14" style="32" customWidth="1"/>
    <col min="5910" max="6152" width="10.140625" style="32"/>
    <col min="6153" max="6165" width="14" style="32" customWidth="1"/>
    <col min="6166" max="6408" width="10.140625" style="32"/>
    <col min="6409" max="6421" width="14" style="32" customWidth="1"/>
    <col min="6422" max="6664" width="10.140625" style="32"/>
    <col min="6665" max="6677" width="14" style="32" customWidth="1"/>
    <col min="6678" max="6920" width="10.140625" style="32"/>
    <col min="6921" max="6933" width="14" style="32" customWidth="1"/>
    <col min="6934" max="7176" width="10.140625" style="32"/>
    <col min="7177" max="7189" width="14" style="32" customWidth="1"/>
    <col min="7190" max="7432" width="10.140625" style="32"/>
    <col min="7433" max="7445" width="14" style="32" customWidth="1"/>
    <col min="7446" max="7688" width="10.140625" style="32"/>
    <col min="7689" max="7701" width="14" style="32" customWidth="1"/>
    <col min="7702" max="7944" width="10.140625" style="32"/>
    <col min="7945" max="7957" width="14" style="32" customWidth="1"/>
    <col min="7958" max="8200" width="10.140625" style="32"/>
    <col min="8201" max="8213" width="14" style="32" customWidth="1"/>
    <col min="8214" max="8456" width="10.140625" style="32"/>
    <col min="8457" max="8469" width="14" style="32" customWidth="1"/>
    <col min="8470" max="8712" width="10.140625" style="32"/>
    <col min="8713" max="8725" width="14" style="32" customWidth="1"/>
    <col min="8726" max="8968" width="10.140625" style="32"/>
    <col min="8969" max="8981" width="14" style="32" customWidth="1"/>
    <col min="8982" max="9224" width="10.140625" style="32"/>
    <col min="9225" max="9237" width="14" style="32" customWidth="1"/>
    <col min="9238" max="9480" width="10.140625" style="32"/>
    <col min="9481" max="9493" width="14" style="32" customWidth="1"/>
    <col min="9494" max="9736" width="10.140625" style="32"/>
    <col min="9737" max="9749" width="14" style="32" customWidth="1"/>
    <col min="9750" max="9992" width="10.140625" style="32"/>
    <col min="9993" max="10005" width="14" style="32" customWidth="1"/>
    <col min="10006" max="10248" width="10.140625" style="32"/>
    <col min="10249" max="10261" width="14" style="32" customWidth="1"/>
    <col min="10262" max="10504" width="10.140625" style="32"/>
    <col min="10505" max="10517" width="14" style="32" customWidth="1"/>
    <col min="10518" max="10760" width="10.140625" style="32"/>
    <col min="10761" max="10773" width="14" style="32" customWidth="1"/>
    <col min="10774" max="11016" width="10.140625" style="32"/>
    <col min="11017" max="11029" width="14" style="32" customWidth="1"/>
    <col min="11030" max="11272" width="10.140625" style="32"/>
    <col min="11273" max="11285" width="14" style="32" customWidth="1"/>
    <col min="11286" max="11528" width="10.140625" style="32"/>
    <col min="11529" max="11541" width="14" style="32" customWidth="1"/>
    <col min="11542" max="11784" width="10.140625" style="32"/>
    <col min="11785" max="11797" width="14" style="32" customWidth="1"/>
    <col min="11798" max="12040" width="10.140625" style="32"/>
    <col min="12041" max="12053" width="14" style="32" customWidth="1"/>
    <col min="12054" max="12296" width="10.140625" style="32"/>
    <col min="12297" max="12309" width="14" style="32" customWidth="1"/>
    <col min="12310" max="12552" width="10.140625" style="32"/>
    <col min="12553" max="12565" width="14" style="32" customWidth="1"/>
    <col min="12566" max="12808" width="10.140625" style="32"/>
    <col min="12809" max="12821" width="14" style="32" customWidth="1"/>
    <col min="12822" max="13064" width="10.140625" style="32"/>
    <col min="13065" max="13077" width="14" style="32" customWidth="1"/>
    <col min="13078" max="13320" width="10.140625" style="32"/>
    <col min="13321" max="13333" width="14" style="32" customWidth="1"/>
    <col min="13334" max="13576" width="10.140625" style="32"/>
    <col min="13577" max="13589" width="14" style="32" customWidth="1"/>
    <col min="13590" max="13832" width="10.140625" style="32"/>
    <col min="13833" max="13845" width="14" style="32" customWidth="1"/>
    <col min="13846" max="14088" width="10.140625" style="32"/>
    <col min="14089" max="14101" width="14" style="32" customWidth="1"/>
    <col min="14102" max="14344" width="10.140625" style="32"/>
    <col min="14345" max="14357" width="14" style="32" customWidth="1"/>
    <col min="14358" max="14600" width="10.140625" style="32"/>
    <col min="14601" max="14613" width="14" style="32" customWidth="1"/>
    <col min="14614" max="14856" width="10.140625" style="32"/>
    <col min="14857" max="14869" width="14" style="32" customWidth="1"/>
    <col min="14870" max="15112" width="10.140625" style="32"/>
    <col min="15113" max="15125" width="14" style="32" customWidth="1"/>
    <col min="15126" max="15368" width="10.140625" style="32"/>
    <col min="15369" max="15381" width="14" style="32" customWidth="1"/>
    <col min="15382" max="15624" width="10.140625" style="32"/>
    <col min="15625" max="15637" width="14" style="32" customWidth="1"/>
    <col min="15638" max="15880" width="10.140625" style="32"/>
    <col min="15881" max="15893" width="14" style="32" customWidth="1"/>
    <col min="15894" max="16136" width="10.140625" style="32"/>
    <col min="16137" max="16149" width="14" style="32" customWidth="1"/>
    <col min="16150" max="16384" width="10.140625" style="32"/>
  </cols>
  <sheetData>
    <row r="1" spans="2:28" ht="4.5" customHeight="1" x14ac:dyDescent="0.25"/>
    <row r="2" spans="2:28" ht="15" customHeight="1" x14ac:dyDescent="0.25">
      <c r="B2" s="364" t="s">
        <v>33</v>
      </c>
      <c r="C2" s="365"/>
      <c r="D2" s="543" t="s">
        <v>31</v>
      </c>
      <c r="E2" s="53"/>
      <c r="F2" s="32"/>
      <c r="G2" s="545" t="s">
        <v>9</v>
      </c>
      <c r="H2" s="545"/>
      <c r="I2" s="545"/>
      <c r="J2" s="545"/>
      <c r="K2" s="545"/>
      <c r="L2" s="545"/>
      <c r="M2" s="545"/>
      <c r="N2" s="55"/>
      <c r="O2" s="546" t="s">
        <v>5</v>
      </c>
      <c r="P2" s="546"/>
      <c r="Q2" s="547" t="s">
        <v>5</v>
      </c>
      <c r="R2" s="548"/>
      <c r="S2" s="548"/>
      <c r="T2" s="597"/>
      <c r="U2" s="546" t="s">
        <v>5</v>
      </c>
      <c r="V2" s="546"/>
      <c r="W2" s="546"/>
      <c r="X2" s="36"/>
      <c r="Y2" s="549" t="s">
        <v>11</v>
      </c>
      <c r="Z2" s="549"/>
      <c r="AA2" s="549"/>
      <c r="AB2" s="549"/>
    </row>
    <row r="3" spans="2:28" ht="15" customHeight="1" x14ac:dyDescent="0.25">
      <c r="B3" s="37" t="str">
        <f ca="1">MID(CELL("filename",A8),FIND("]",CELL("filename",A8))+1,LEN(CELL("filename",A8))-FIND("]",CELL("filename",A8)))</f>
        <v>04 ZŠ Školní</v>
      </c>
      <c r="C3" s="33"/>
      <c r="D3" s="543"/>
      <c r="E3" s="53"/>
      <c r="F3" s="32"/>
      <c r="G3" s="537" t="s">
        <v>144</v>
      </c>
      <c r="H3" s="537"/>
      <c r="I3" s="537" t="s">
        <v>6</v>
      </c>
      <c r="J3" s="537"/>
      <c r="K3" s="537" t="s">
        <v>143</v>
      </c>
      <c r="L3" s="537"/>
      <c r="M3" s="537"/>
      <c r="N3" s="38"/>
      <c r="O3" s="538" t="s">
        <v>233</v>
      </c>
      <c r="P3" s="538"/>
      <c r="Q3" s="539" t="s">
        <v>234</v>
      </c>
      <c r="R3" s="538"/>
      <c r="S3" s="538"/>
      <c r="T3" s="596"/>
      <c r="U3" s="538" t="s">
        <v>235</v>
      </c>
      <c r="V3" s="538"/>
      <c r="W3" s="538"/>
      <c r="X3" s="38"/>
      <c r="Y3" s="540" t="s">
        <v>210</v>
      </c>
      <c r="Z3" s="540"/>
      <c r="AA3" s="540"/>
      <c r="AB3" s="540"/>
    </row>
    <row r="4" spans="2:28" ht="15" customHeight="1" x14ac:dyDescent="0.25">
      <c r="B4" s="534" t="s">
        <v>236</v>
      </c>
      <c r="C4" s="534"/>
      <c r="D4" s="544"/>
      <c r="E4" s="53"/>
      <c r="F4" s="32"/>
      <c r="G4" s="29" t="s">
        <v>0</v>
      </c>
      <c r="H4" s="29" t="s">
        <v>7</v>
      </c>
      <c r="I4" s="29" t="s">
        <v>187</v>
      </c>
      <c r="J4" s="29" t="s">
        <v>7</v>
      </c>
      <c r="K4" s="29" t="s">
        <v>0</v>
      </c>
      <c r="L4" s="29" t="s">
        <v>13</v>
      </c>
      <c r="M4" s="29" t="s">
        <v>7</v>
      </c>
      <c r="N4" s="56"/>
      <c r="O4" s="31" t="s">
        <v>188</v>
      </c>
      <c r="P4" s="366" t="s">
        <v>7</v>
      </c>
      <c r="Q4" s="367" t="s">
        <v>188</v>
      </c>
      <c r="R4" s="31" t="s">
        <v>223</v>
      </c>
      <c r="S4" s="31" t="s">
        <v>189</v>
      </c>
      <c r="T4" s="476" t="s">
        <v>7</v>
      </c>
      <c r="U4" s="31" t="s">
        <v>188</v>
      </c>
      <c r="V4" s="31" t="s">
        <v>223</v>
      </c>
      <c r="W4" s="366" t="s">
        <v>7</v>
      </c>
      <c r="X4" s="39"/>
      <c r="Y4" s="301" t="s">
        <v>13</v>
      </c>
      <c r="Z4" s="359" t="s">
        <v>190</v>
      </c>
      <c r="AA4" s="359" t="s">
        <v>191</v>
      </c>
      <c r="AB4" s="30" t="s">
        <v>212</v>
      </c>
    </row>
    <row r="5" spans="2:28" ht="8.25" customHeight="1" x14ac:dyDescent="0.2">
      <c r="B5" s="534"/>
      <c r="C5" s="534"/>
      <c r="D5" s="52"/>
      <c r="E5" s="372"/>
      <c r="F5" s="64"/>
      <c r="G5" s="33"/>
      <c r="H5" s="33"/>
      <c r="Q5" s="373"/>
      <c r="R5" s="374"/>
      <c r="S5" s="374"/>
      <c r="T5" s="477"/>
      <c r="V5" s="374"/>
    </row>
    <row r="6" spans="2:28" ht="15.75" x14ac:dyDescent="0.25">
      <c r="B6" s="47">
        <v>2015</v>
      </c>
      <c r="C6" s="33"/>
      <c r="D6" s="40" t="s">
        <v>18</v>
      </c>
      <c r="E6" s="376">
        <v>31</v>
      </c>
      <c r="F6" s="57"/>
      <c r="G6" s="377"/>
      <c r="H6" s="377"/>
      <c r="I6" s="478">
        <v>541</v>
      </c>
      <c r="J6" s="379">
        <v>279697</v>
      </c>
      <c r="K6" s="381"/>
      <c r="L6" s="381"/>
      <c r="M6" s="381"/>
      <c r="N6" s="41"/>
      <c r="O6" s="504">
        <v>58354</v>
      </c>
      <c r="P6" s="512">
        <v>216776.75</v>
      </c>
      <c r="Q6" s="510">
        <v>42234</v>
      </c>
      <c r="R6" s="504">
        <v>16620</v>
      </c>
      <c r="S6" s="504">
        <f>SUM(Q6:R16)</f>
        <v>67065</v>
      </c>
      <c r="T6" s="512">
        <v>211243.38</v>
      </c>
      <c r="U6" s="510">
        <v>880</v>
      </c>
      <c r="V6" s="504">
        <v>445</v>
      </c>
      <c r="W6" s="515">
        <v>6995.5</v>
      </c>
      <c r="X6" s="58"/>
      <c r="Y6" s="504">
        <v>520</v>
      </c>
      <c r="Z6" s="504">
        <f>Y6*28.6</f>
        <v>14872</v>
      </c>
      <c r="AA6" s="504">
        <f>Y6*34.7</f>
        <v>18044</v>
      </c>
      <c r="AB6" s="504">
        <f>AA6+Z6</f>
        <v>32916</v>
      </c>
    </row>
    <row r="7" spans="2:28" x14ac:dyDescent="0.25">
      <c r="B7" s="33"/>
      <c r="C7" s="33"/>
      <c r="D7" s="40" t="s">
        <v>19</v>
      </c>
      <c r="E7" s="376">
        <v>28</v>
      </c>
      <c r="F7" s="57"/>
      <c r="G7" s="377"/>
      <c r="H7" s="377"/>
      <c r="I7" s="478">
        <v>466</v>
      </c>
      <c r="J7" s="379">
        <v>240922</v>
      </c>
      <c r="K7" s="381"/>
      <c r="L7" s="381"/>
      <c r="M7" s="381"/>
      <c r="N7" s="41"/>
      <c r="O7" s="508"/>
      <c r="P7" s="513"/>
      <c r="Q7" s="523"/>
      <c r="R7" s="508"/>
      <c r="S7" s="508"/>
      <c r="T7" s="513"/>
      <c r="U7" s="523"/>
      <c r="V7" s="508"/>
      <c r="W7" s="516"/>
      <c r="X7" s="58"/>
      <c r="Y7" s="508"/>
      <c r="Z7" s="508"/>
      <c r="AA7" s="508"/>
      <c r="AB7" s="508"/>
    </row>
    <row r="8" spans="2:28" x14ac:dyDescent="0.25">
      <c r="B8" s="33"/>
      <c r="C8" s="33"/>
      <c r="D8" s="40" t="s">
        <v>20</v>
      </c>
      <c r="E8" s="376">
        <v>31</v>
      </c>
      <c r="F8" s="57"/>
      <c r="G8" s="377"/>
      <c r="H8" s="377"/>
      <c r="I8" s="479">
        <v>376</v>
      </c>
      <c r="J8" s="381">
        <f>I8*517</f>
        <v>194392</v>
      </c>
      <c r="K8" s="381"/>
      <c r="L8" s="381"/>
      <c r="M8" s="381"/>
      <c r="N8" s="41"/>
      <c r="O8" s="508"/>
      <c r="P8" s="513"/>
      <c r="Q8" s="523"/>
      <c r="R8" s="508"/>
      <c r="S8" s="508"/>
      <c r="T8" s="513"/>
      <c r="U8" s="523"/>
      <c r="V8" s="508"/>
      <c r="W8" s="516"/>
      <c r="X8" s="58"/>
      <c r="Y8" s="505"/>
      <c r="Z8" s="505"/>
      <c r="AA8" s="505"/>
      <c r="AB8" s="505"/>
    </row>
    <row r="9" spans="2:28" x14ac:dyDescent="0.25">
      <c r="B9" s="33"/>
      <c r="C9" s="33"/>
      <c r="D9" s="40" t="s">
        <v>21</v>
      </c>
      <c r="E9" s="376">
        <v>30</v>
      </c>
      <c r="F9" s="57"/>
      <c r="G9" s="377"/>
      <c r="H9" s="377"/>
      <c r="I9" s="479">
        <v>228</v>
      </c>
      <c r="J9" s="381">
        <f t="shared" ref="J9:J13" si="0">I9*517</f>
        <v>117876</v>
      </c>
      <c r="K9" s="381"/>
      <c r="L9" s="381"/>
      <c r="M9" s="381"/>
      <c r="N9" s="41"/>
      <c r="O9" s="508"/>
      <c r="P9" s="513"/>
      <c r="Q9" s="523"/>
      <c r="R9" s="508"/>
      <c r="S9" s="508"/>
      <c r="T9" s="513"/>
      <c r="U9" s="523"/>
      <c r="V9" s="508"/>
      <c r="W9" s="516"/>
      <c r="X9" s="58"/>
      <c r="Y9" s="504">
        <v>589</v>
      </c>
      <c r="Z9" s="504">
        <f t="shared" ref="Z9" si="1">Y9*28.6</f>
        <v>16845.400000000001</v>
      </c>
      <c r="AA9" s="504">
        <f t="shared" ref="AA9" si="2">Y9*34.7</f>
        <v>20438.300000000003</v>
      </c>
      <c r="AB9" s="504">
        <f t="shared" ref="AB9" si="3">AA9+Z9</f>
        <v>37283.700000000004</v>
      </c>
    </row>
    <row r="10" spans="2:28" x14ac:dyDescent="0.25">
      <c r="B10" s="33"/>
      <c r="C10" s="33"/>
      <c r="D10" s="40" t="s">
        <v>22</v>
      </c>
      <c r="E10" s="376">
        <v>31</v>
      </c>
      <c r="F10" s="57"/>
      <c r="G10" s="377"/>
      <c r="H10" s="377"/>
      <c r="I10" s="479">
        <v>114</v>
      </c>
      <c r="J10" s="381">
        <f t="shared" si="0"/>
        <v>58938</v>
      </c>
      <c r="K10" s="381"/>
      <c r="L10" s="381"/>
      <c r="M10" s="381"/>
      <c r="N10" s="41"/>
      <c r="O10" s="508"/>
      <c r="P10" s="513"/>
      <c r="Q10" s="523"/>
      <c r="R10" s="508"/>
      <c r="S10" s="508"/>
      <c r="T10" s="513"/>
      <c r="U10" s="523"/>
      <c r="V10" s="508"/>
      <c r="W10" s="516"/>
      <c r="X10" s="58"/>
      <c r="Y10" s="508"/>
      <c r="Z10" s="508"/>
      <c r="AA10" s="508"/>
      <c r="AB10" s="508"/>
    </row>
    <row r="11" spans="2:28" x14ac:dyDescent="0.25">
      <c r="B11" s="33"/>
      <c r="C11" s="33"/>
      <c r="D11" s="40" t="s">
        <v>23</v>
      </c>
      <c r="E11" s="376">
        <v>30</v>
      </c>
      <c r="F11" s="57"/>
      <c r="G11" s="377"/>
      <c r="H11" s="377"/>
      <c r="I11" s="479">
        <v>86</v>
      </c>
      <c r="J11" s="381">
        <f t="shared" si="0"/>
        <v>44462</v>
      </c>
      <c r="K11" s="381"/>
      <c r="L11" s="381"/>
      <c r="M11" s="381"/>
      <c r="N11" s="41"/>
      <c r="O11" s="505"/>
      <c r="P11" s="514"/>
      <c r="Q11" s="523"/>
      <c r="R11" s="508"/>
      <c r="S11" s="508"/>
      <c r="T11" s="513"/>
      <c r="U11" s="523"/>
      <c r="V11" s="508"/>
      <c r="W11" s="516"/>
      <c r="X11" s="58"/>
      <c r="Y11" s="505"/>
      <c r="Z11" s="505"/>
      <c r="AA11" s="505"/>
      <c r="AB11" s="505"/>
    </row>
    <row r="12" spans="2:28" x14ac:dyDescent="0.25">
      <c r="B12" s="33"/>
      <c r="C12" s="33"/>
      <c r="D12" s="40" t="s">
        <v>24</v>
      </c>
      <c r="E12" s="376">
        <v>31</v>
      </c>
      <c r="F12" s="57"/>
      <c r="G12" s="377"/>
      <c r="H12" s="377"/>
      <c r="I12" s="479">
        <v>80</v>
      </c>
      <c r="J12" s="381">
        <f t="shared" si="0"/>
        <v>41360</v>
      </c>
      <c r="K12" s="381"/>
      <c r="L12" s="381"/>
      <c r="M12" s="381"/>
      <c r="N12" s="41"/>
      <c r="O12" s="504">
        <v>36620</v>
      </c>
      <c r="P12" s="512">
        <v>167865.82</v>
      </c>
      <c r="Q12" s="523"/>
      <c r="R12" s="508"/>
      <c r="S12" s="508"/>
      <c r="T12" s="513"/>
      <c r="U12" s="523"/>
      <c r="V12" s="508"/>
      <c r="W12" s="516"/>
      <c r="X12" s="58"/>
      <c r="Y12" s="504">
        <v>383</v>
      </c>
      <c r="Z12" s="504">
        <f t="shared" ref="Z12" si="4">Y12*28.6</f>
        <v>10953.800000000001</v>
      </c>
      <c r="AA12" s="504">
        <f t="shared" ref="AA12" si="5">Y12*34.7</f>
        <v>13290.1</v>
      </c>
      <c r="AB12" s="504">
        <f t="shared" ref="AB12" si="6">AA12+Z12</f>
        <v>24243.9</v>
      </c>
    </row>
    <row r="13" spans="2:28" x14ac:dyDescent="0.25">
      <c r="B13" s="33"/>
      <c r="C13" s="33"/>
      <c r="D13" s="40" t="s">
        <v>25</v>
      </c>
      <c r="E13" s="376">
        <v>31</v>
      </c>
      <c r="F13" s="57"/>
      <c r="G13" s="377"/>
      <c r="H13" s="377"/>
      <c r="I13" s="479">
        <v>59</v>
      </c>
      <c r="J13" s="381">
        <f t="shared" si="0"/>
        <v>30503</v>
      </c>
      <c r="K13" s="381"/>
      <c r="L13" s="381"/>
      <c r="M13" s="381"/>
      <c r="N13" s="41"/>
      <c r="O13" s="508"/>
      <c r="P13" s="513"/>
      <c r="Q13" s="523"/>
      <c r="R13" s="508"/>
      <c r="S13" s="508"/>
      <c r="T13" s="513"/>
      <c r="U13" s="523"/>
      <c r="V13" s="508"/>
      <c r="W13" s="516"/>
      <c r="X13" s="58"/>
      <c r="Y13" s="508"/>
      <c r="Z13" s="508"/>
      <c r="AA13" s="508"/>
      <c r="AB13" s="508"/>
    </row>
    <row r="14" spans="2:28" x14ac:dyDescent="0.25">
      <c r="B14" s="33"/>
      <c r="C14" s="33"/>
      <c r="D14" s="40" t="s">
        <v>26</v>
      </c>
      <c r="E14" s="376">
        <v>30</v>
      </c>
      <c r="F14" s="57"/>
      <c r="G14" s="377"/>
      <c r="H14" s="377"/>
      <c r="I14" s="479">
        <f>17.25+35.3+21.75</f>
        <v>74.3</v>
      </c>
      <c r="J14" s="381">
        <f>I14*517</f>
        <v>38413.1</v>
      </c>
      <c r="K14" s="381"/>
      <c r="L14" s="381"/>
      <c r="M14" s="381"/>
      <c r="N14" s="41"/>
      <c r="O14" s="508"/>
      <c r="P14" s="513"/>
      <c r="Q14" s="523"/>
      <c r="R14" s="508"/>
      <c r="S14" s="508"/>
      <c r="T14" s="513"/>
      <c r="U14" s="523"/>
      <c r="V14" s="508"/>
      <c r="W14" s="516"/>
      <c r="X14" s="58"/>
      <c r="Y14" s="505"/>
      <c r="Z14" s="505"/>
      <c r="AA14" s="505"/>
      <c r="AB14" s="505"/>
    </row>
    <row r="15" spans="2:28" x14ac:dyDescent="0.25">
      <c r="B15" s="33"/>
      <c r="C15" s="33"/>
      <c r="D15" s="40" t="s">
        <v>27</v>
      </c>
      <c r="E15" s="376">
        <v>31</v>
      </c>
      <c r="F15" s="57"/>
      <c r="G15" s="377"/>
      <c r="H15" s="377"/>
      <c r="I15" s="479">
        <v>185</v>
      </c>
      <c r="J15" s="381">
        <f>I15*517</f>
        <v>95645</v>
      </c>
      <c r="K15" s="381"/>
      <c r="L15" s="381"/>
      <c r="M15" s="381"/>
      <c r="N15" s="41"/>
      <c r="O15" s="508"/>
      <c r="P15" s="513"/>
      <c r="Q15" s="511"/>
      <c r="R15" s="505"/>
      <c r="S15" s="508"/>
      <c r="T15" s="513"/>
      <c r="U15" s="523"/>
      <c r="V15" s="508"/>
      <c r="W15" s="516"/>
      <c r="X15" s="58"/>
      <c r="Y15" s="504">
        <v>962</v>
      </c>
      <c r="Z15" s="504">
        <f t="shared" ref="Z15" si="7">Y15*28.6</f>
        <v>27513.200000000001</v>
      </c>
      <c r="AA15" s="504">
        <f t="shared" ref="AA15" si="8">Y15*34.7</f>
        <v>33381.4</v>
      </c>
      <c r="AB15" s="504">
        <f t="shared" ref="AB15" si="9">AA15+Z15</f>
        <v>60894.600000000006</v>
      </c>
    </row>
    <row r="16" spans="2:28" x14ac:dyDescent="0.25">
      <c r="B16" s="33"/>
      <c r="C16" s="33"/>
      <c r="D16" s="40" t="s">
        <v>28</v>
      </c>
      <c r="E16" s="376">
        <v>30</v>
      </c>
      <c r="F16" s="57"/>
      <c r="G16" s="377"/>
      <c r="H16" s="377"/>
      <c r="I16" s="479">
        <v>266</v>
      </c>
      <c r="J16" s="381">
        <f>I16*517</f>
        <v>137522</v>
      </c>
      <c r="K16" s="381"/>
      <c r="L16" s="381"/>
      <c r="M16" s="381"/>
      <c r="N16" s="41"/>
      <c r="O16" s="505"/>
      <c r="P16" s="513"/>
      <c r="Q16" s="426">
        <v>6079</v>
      </c>
      <c r="R16" s="424">
        <v>2132</v>
      </c>
      <c r="S16" s="505"/>
      <c r="T16" s="514"/>
      <c r="U16" s="511"/>
      <c r="V16" s="505"/>
      <c r="W16" s="517"/>
      <c r="X16" s="58"/>
      <c r="Y16" s="508"/>
      <c r="Z16" s="508"/>
      <c r="AA16" s="508"/>
      <c r="AB16" s="508"/>
    </row>
    <row r="17" spans="2:28" x14ac:dyDescent="0.25">
      <c r="B17" s="33"/>
      <c r="C17" s="33"/>
      <c r="D17" s="40" t="s">
        <v>29</v>
      </c>
      <c r="E17" s="376">
        <v>31</v>
      </c>
      <c r="F17" s="57"/>
      <c r="G17" s="377"/>
      <c r="H17" s="377"/>
      <c r="I17" s="479">
        <v>403</v>
      </c>
      <c r="J17" s="381">
        <f>I17*517</f>
        <v>208351</v>
      </c>
      <c r="K17" s="381"/>
      <c r="L17" s="381"/>
      <c r="M17" s="381"/>
      <c r="N17" s="41"/>
      <c r="O17" s="418">
        <v>8162</v>
      </c>
      <c r="P17" s="514"/>
      <c r="Q17" s="446">
        <v>5526</v>
      </c>
      <c r="R17" s="418">
        <v>1854</v>
      </c>
      <c r="S17" s="418">
        <f>R17+Q17</f>
        <v>7380</v>
      </c>
      <c r="T17" s="480">
        <v>23434.62</v>
      </c>
      <c r="U17" s="446">
        <v>143</v>
      </c>
      <c r="V17" s="418">
        <v>73</v>
      </c>
      <c r="W17" s="383">
        <v>1134.08</v>
      </c>
      <c r="X17" s="41"/>
      <c r="Y17" s="505"/>
      <c r="Z17" s="505"/>
      <c r="AA17" s="505"/>
      <c r="AB17" s="505"/>
    </row>
    <row r="18" spans="2:28" x14ac:dyDescent="0.25">
      <c r="B18" s="43"/>
      <c r="C18" s="43"/>
      <c r="D18" s="44"/>
      <c r="E18" s="60"/>
      <c r="F18" s="60"/>
      <c r="G18" s="45">
        <f>SUM(G6:G17)</f>
        <v>0</v>
      </c>
      <c r="H18" s="45">
        <f t="shared" ref="H18:M18" si="10">SUM(H6:H17)</f>
        <v>0</v>
      </c>
      <c r="I18" s="45">
        <f t="shared" si="10"/>
        <v>2878.3</v>
      </c>
      <c r="J18" s="45">
        <f t="shared" si="10"/>
        <v>1488081.1</v>
      </c>
      <c r="K18" s="45">
        <f t="shared" si="10"/>
        <v>0</v>
      </c>
      <c r="L18" s="45">
        <f t="shared" si="10"/>
        <v>0</v>
      </c>
      <c r="M18" s="45">
        <f t="shared" si="10"/>
        <v>0</v>
      </c>
      <c r="N18" s="54"/>
      <c r="O18" s="390">
        <f t="shared" ref="O18:R18" si="11">SUM(O6:O17)</f>
        <v>103136</v>
      </c>
      <c r="P18" s="391">
        <f t="shared" si="11"/>
        <v>384642.57</v>
      </c>
      <c r="Q18" s="392">
        <f t="shared" si="11"/>
        <v>53839</v>
      </c>
      <c r="R18" s="458">
        <f t="shared" si="11"/>
        <v>20606</v>
      </c>
      <c r="S18" s="393"/>
      <c r="T18" s="481">
        <f t="shared" ref="T18:W18" si="12">SUM(T6:T17)</f>
        <v>234678</v>
      </c>
      <c r="U18" s="390">
        <f t="shared" si="12"/>
        <v>1023</v>
      </c>
      <c r="V18" s="458">
        <f t="shared" si="12"/>
        <v>518</v>
      </c>
      <c r="W18" s="391">
        <f t="shared" si="12"/>
        <v>8129.58</v>
      </c>
      <c r="X18" s="61"/>
      <c r="Y18" s="45">
        <f>SUM(Y6:Y17)</f>
        <v>2454</v>
      </c>
      <c r="Z18" s="45"/>
      <c r="AA18" s="45"/>
      <c r="AB18" s="45">
        <f>SUM(AB6:AB17)</f>
        <v>155338.20000000001</v>
      </c>
    </row>
    <row r="19" spans="2:28" ht="15.75" x14ac:dyDescent="0.25">
      <c r="B19" s="396"/>
      <c r="C19" s="397"/>
      <c r="D19" s="398" t="s">
        <v>34</v>
      </c>
      <c r="G19" s="48">
        <v>0.15</v>
      </c>
      <c r="H19" s="49">
        <f>H18*(1+G19)</f>
        <v>0</v>
      </c>
      <c r="I19" s="49">
        <f>I18/3.6</f>
        <v>799.52777777777783</v>
      </c>
      <c r="J19" s="49">
        <f>J18*(1+G19)</f>
        <v>1711293.2649999999</v>
      </c>
      <c r="K19" s="50"/>
      <c r="L19" s="51"/>
      <c r="M19" s="49">
        <f>M18*(1+G19)</f>
        <v>0</v>
      </c>
      <c r="N19" s="62"/>
      <c r="O19" s="400">
        <v>0.21</v>
      </c>
      <c r="P19" s="401">
        <f>P18*(1+O19)</f>
        <v>465417.5097</v>
      </c>
      <c r="Q19" s="402">
        <v>0.21</v>
      </c>
      <c r="R19" s="400"/>
      <c r="S19" s="400"/>
      <c r="T19" s="482">
        <f>T18*(1+Q19)</f>
        <v>283960.38</v>
      </c>
      <c r="U19" s="400">
        <v>0.21</v>
      </c>
      <c r="V19" s="400"/>
      <c r="W19" s="401">
        <f>W18*(1+U19)</f>
        <v>9836.7917999999991</v>
      </c>
      <c r="X19" s="62"/>
      <c r="Y19" s="48">
        <v>0.15</v>
      </c>
      <c r="Z19" s="48"/>
      <c r="AA19" s="48"/>
      <c r="AB19" s="49">
        <f>AB18*(1+Y19)</f>
        <v>178638.93</v>
      </c>
    </row>
    <row r="20" spans="2:28" ht="20.100000000000001" customHeight="1" x14ac:dyDescent="0.2">
      <c r="B20" s="396"/>
      <c r="C20" s="397"/>
      <c r="D20" s="398"/>
      <c r="G20" s="404"/>
      <c r="H20" s="405"/>
      <c r="I20" s="405"/>
      <c r="J20" s="405"/>
      <c r="K20" s="406"/>
      <c r="L20" s="54"/>
      <c r="M20" s="405"/>
      <c r="O20" s="407"/>
      <c r="P20" s="408"/>
      <c r="Q20" s="409"/>
      <c r="R20" s="407"/>
      <c r="S20" s="410"/>
      <c r="T20" s="483"/>
      <c r="U20" s="407"/>
      <c r="V20" s="407"/>
      <c r="W20" s="408"/>
      <c r="Y20" s="404"/>
      <c r="Z20" s="404"/>
      <c r="AA20" s="404"/>
      <c r="AB20" s="405"/>
    </row>
    <row r="21" spans="2:28" ht="20.100000000000001" customHeight="1" x14ac:dyDescent="0.25">
      <c r="G21" s="53"/>
      <c r="H21" s="63"/>
      <c r="I21" s="63"/>
      <c r="J21" s="63"/>
      <c r="K21" s="63"/>
      <c r="L21" s="63"/>
      <c r="M21" s="63"/>
      <c r="N21" s="65"/>
      <c r="O21" s="413"/>
      <c r="P21" s="414"/>
      <c r="Q21" s="415"/>
      <c r="R21" s="460"/>
      <c r="S21" s="416"/>
      <c r="T21" s="484"/>
      <c r="U21" s="413"/>
      <c r="V21" s="460"/>
      <c r="W21" s="414"/>
      <c r="X21" s="65"/>
      <c r="Y21" s="63"/>
      <c r="Z21" s="63"/>
      <c r="AA21" s="63"/>
      <c r="AB21" s="63"/>
    </row>
    <row r="22" spans="2:28" ht="15.75" x14ac:dyDescent="0.25">
      <c r="B22" s="47">
        <f>B6+1</f>
        <v>2016</v>
      </c>
      <c r="D22" s="40" t="s">
        <v>18</v>
      </c>
      <c r="E22" s="376">
        <v>31</v>
      </c>
      <c r="F22" s="57"/>
      <c r="G22" s="377"/>
      <c r="H22" s="377"/>
      <c r="I22" s="479">
        <v>479</v>
      </c>
      <c r="J22" s="381">
        <f>I22*512</f>
        <v>245248</v>
      </c>
      <c r="K22" s="381"/>
      <c r="L22" s="381"/>
      <c r="M22" s="381"/>
      <c r="N22" s="41"/>
      <c r="O22" s="418">
        <v>9401</v>
      </c>
      <c r="P22" s="434">
        <f>26148.13+9252</f>
        <v>35400.130000000005</v>
      </c>
      <c r="Q22" s="446">
        <v>7137</v>
      </c>
      <c r="R22" s="418">
        <v>2387</v>
      </c>
      <c r="S22" s="524">
        <f>SUM(Q22:R32)</f>
        <v>65276</v>
      </c>
      <c r="T22" s="512">
        <v>207119.02</v>
      </c>
      <c r="U22" s="528">
        <v>807</v>
      </c>
      <c r="V22" s="524">
        <v>424</v>
      </c>
      <c r="W22" s="515">
        <v>6831.92</v>
      </c>
      <c r="X22" s="58"/>
      <c r="Y22" s="504">
        <v>530</v>
      </c>
      <c r="Z22" s="504">
        <f>Y22*29.08</f>
        <v>15412.4</v>
      </c>
      <c r="AA22" s="504">
        <f>Y22*35.46</f>
        <v>18793.8</v>
      </c>
      <c r="AB22" s="504">
        <f>AA22+Z22</f>
        <v>34206.199999999997</v>
      </c>
    </row>
    <row r="23" spans="2:28" x14ac:dyDescent="0.25">
      <c r="D23" s="40" t="s">
        <v>19</v>
      </c>
      <c r="E23" s="376">
        <v>29</v>
      </c>
      <c r="F23" s="57"/>
      <c r="G23" s="377"/>
      <c r="H23" s="377"/>
      <c r="I23" s="479">
        <v>375</v>
      </c>
      <c r="J23" s="381">
        <f>I23*512</f>
        <v>192000</v>
      </c>
      <c r="K23" s="381"/>
      <c r="L23" s="381"/>
      <c r="M23" s="381"/>
      <c r="N23" s="41"/>
      <c r="O23" s="418">
        <v>9512</v>
      </c>
      <c r="P23" s="434">
        <f>26443.44+9360.59</f>
        <v>35804.03</v>
      </c>
      <c r="Q23" s="446">
        <v>5755</v>
      </c>
      <c r="R23" s="418">
        <v>2125</v>
      </c>
      <c r="S23" s="518"/>
      <c r="T23" s="513"/>
      <c r="U23" s="529"/>
      <c r="V23" s="518"/>
      <c r="W23" s="516"/>
      <c r="X23" s="58"/>
      <c r="Y23" s="508"/>
      <c r="Z23" s="508"/>
      <c r="AA23" s="508"/>
      <c r="AB23" s="508"/>
    </row>
    <row r="24" spans="2:28" x14ac:dyDescent="0.25">
      <c r="D24" s="40" t="s">
        <v>20</v>
      </c>
      <c r="E24" s="376">
        <v>31</v>
      </c>
      <c r="F24" s="57"/>
      <c r="G24" s="377"/>
      <c r="H24" s="377"/>
      <c r="I24" s="479">
        <v>342</v>
      </c>
      <c r="J24" s="381">
        <f>I24*512</f>
        <v>175104</v>
      </c>
      <c r="K24" s="381"/>
      <c r="L24" s="381"/>
      <c r="M24" s="381"/>
      <c r="N24" s="41"/>
      <c r="O24" s="418">
        <v>9896</v>
      </c>
      <c r="P24" s="434">
        <f>27465.09+9736.26</f>
        <v>37201.35</v>
      </c>
      <c r="Q24" s="446">
        <v>5442</v>
      </c>
      <c r="R24" s="418">
        <v>2307</v>
      </c>
      <c r="S24" s="518"/>
      <c r="T24" s="513"/>
      <c r="U24" s="529"/>
      <c r="V24" s="518"/>
      <c r="W24" s="516"/>
      <c r="X24" s="58"/>
      <c r="Y24" s="505"/>
      <c r="Z24" s="505"/>
      <c r="AA24" s="505"/>
      <c r="AB24" s="505"/>
    </row>
    <row r="25" spans="2:28" x14ac:dyDescent="0.25">
      <c r="D25" s="40" t="s">
        <v>21</v>
      </c>
      <c r="E25" s="376">
        <v>30</v>
      </c>
      <c r="F25" s="57"/>
      <c r="G25" s="377"/>
      <c r="H25" s="377"/>
      <c r="I25" s="479">
        <v>244</v>
      </c>
      <c r="J25" s="381">
        <f>I25*512</f>
        <v>124928</v>
      </c>
      <c r="K25" s="381"/>
      <c r="L25" s="381"/>
      <c r="M25" s="381"/>
      <c r="N25" s="41"/>
      <c r="O25" s="424">
        <v>10624</v>
      </c>
      <c r="P25" s="434">
        <f>29401.95+10448.46</f>
        <v>39850.410000000003</v>
      </c>
      <c r="Q25" s="446">
        <v>4329</v>
      </c>
      <c r="R25" s="418">
        <v>1761</v>
      </c>
      <c r="S25" s="518"/>
      <c r="T25" s="513"/>
      <c r="U25" s="529"/>
      <c r="V25" s="518"/>
      <c r="W25" s="516"/>
      <c r="X25" s="58"/>
      <c r="Y25" s="504">
        <v>644</v>
      </c>
      <c r="Z25" s="504">
        <f>Y25*29.08</f>
        <v>18727.52</v>
      </c>
      <c r="AA25" s="504">
        <f>Y25*35.46</f>
        <v>22836.240000000002</v>
      </c>
      <c r="AB25" s="504">
        <f>AA25+Z25</f>
        <v>41563.760000000002</v>
      </c>
    </row>
    <row r="26" spans="2:28" x14ac:dyDescent="0.25">
      <c r="D26" s="40" t="s">
        <v>22</v>
      </c>
      <c r="E26" s="376">
        <v>31</v>
      </c>
      <c r="F26" s="57"/>
      <c r="G26" s="377"/>
      <c r="H26" s="377"/>
      <c r="I26" s="479">
        <v>109</v>
      </c>
      <c r="J26" s="381">
        <f>I26*512</f>
        <v>55808</v>
      </c>
      <c r="K26" s="381"/>
      <c r="L26" s="381"/>
      <c r="M26" s="381"/>
      <c r="N26" s="41"/>
      <c r="O26" s="424">
        <v>10584</v>
      </c>
      <c r="P26" s="434">
        <f>29295.52+10409.33</f>
        <v>39704.85</v>
      </c>
      <c r="Q26" s="446">
        <v>3835</v>
      </c>
      <c r="R26" s="418">
        <v>1541</v>
      </c>
      <c r="S26" s="518"/>
      <c r="T26" s="513"/>
      <c r="U26" s="529"/>
      <c r="V26" s="518"/>
      <c r="W26" s="516"/>
      <c r="X26" s="58"/>
      <c r="Y26" s="508"/>
      <c r="Z26" s="508"/>
      <c r="AA26" s="508"/>
      <c r="AB26" s="508"/>
    </row>
    <row r="27" spans="2:28" x14ac:dyDescent="0.25">
      <c r="D27" s="40" t="s">
        <v>23</v>
      </c>
      <c r="E27" s="376">
        <v>30</v>
      </c>
      <c r="F27" s="57"/>
      <c r="G27" s="377"/>
      <c r="H27" s="377"/>
      <c r="I27" s="479">
        <v>80</v>
      </c>
      <c r="J27" s="381">
        <f t="shared" ref="J27:J33" si="13">I27*512</f>
        <v>40960</v>
      </c>
      <c r="K27" s="381"/>
      <c r="L27" s="381"/>
      <c r="M27" s="381"/>
      <c r="N27" s="41"/>
      <c r="O27" s="424">
        <v>10383</v>
      </c>
      <c r="P27" s="434">
        <f>28760.77+10212.69</f>
        <v>38973.46</v>
      </c>
      <c r="Q27" s="446">
        <v>3304</v>
      </c>
      <c r="R27" s="418">
        <v>1223</v>
      </c>
      <c r="S27" s="518"/>
      <c r="T27" s="513"/>
      <c r="U27" s="529"/>
      <c r="V27" s="518"/>
      <c r="W27" s="516"/>
      <c r="X27" s="58"/>
      <c r="Y27" s="505"/>
      <c r="Z27" s="505"/>
      <c r="AA27" s="505"/>
      <c r="AB27" s="505"/>
    </row>
    <row r="28" spans="2:28" x14ac:dyDescent="0.25">
      <c r="D28" s="40" t="s">
        <v>24</v>
      </c>
      <c r="E28" s="376">
        <v>31</v>
      </c>
      <c r="F28" s="57"/>
      <c r="G28" s="377"/>
      <c r="H28" s="377"/>
      <c r="I28" s="479">
        <v>80</v>
      </c>
      <c r="J28" s="381">
        <f t="shared" si="13"/>
        <v>40960</v>
      </c>
      <c r="K28" s="381"/>
      <c r="L28" s="381"/>
      <c r="M28" s="381"/>
      <c r="N28" s="41"/>
      <c r="O28" s="424">
        <v>4901</v>
      </c>
      <c r="P28" s="512">
        <v>173720.13</v>
      </c>
      <c r="Q28" s="446">
        <v>1425</v>
      </c>
      <c r="R28" s="418">
        <v>752</v>
      </c>
      <c r="S28" s="518"/>
      <c r="T28" s="513"/>
      <c r="U28" s="529"/>
      <c r="V28" s="518"/>
      <c r="W28" s="516"/>
      <c r="X28" s="58"/>
      <c r="Y28" s="504">
        <v>297</v>
      </c>
      <c r="Z28" s="504">
        <f t="shared" ref="Z28" si="14">Y28*29.08</f>
        <v>8636.76</v>
      </c>
      <c r="AA28" s="504">
        <f t="shared" ref="AA28" si="15">Y28*35.46</f>
        <v>10531.62</v>
      </c>
      <c r="AB28" s="504">
        <f t="shared" ref="AB28" si="16">AA28+Z28</f>
        <v>19168.38</v>
      </c>
    </row>
    <row r="29" spans="2:28" x14ac:dyDescent="0.25">
      <c r="D29" s="40" t="s">
        <v>25</v>
      </c>
      <c r="E29" s="376">
        <v>31</v>
      </c>
      <c r="F29" s="57"/>
      <c r="G29" s="377"/>
      <c r="H29" s="377"/>
      <c r="I29" s="479">
        <v>79</v>
      </c>
      <c r="J29" s="381">
        <f t="shared" si="13"/>
        <v>40448</v>
      </c>
      <c r="K29" s="381"/>
      <c r="L29" s="381"/>
      <c r="M29" s="381"/>
      <c r="N29" s="41"/>
      <c r="O29" s="424">
        <v>3675</v>
      </c>
      <c r="P29" s="513"/>
      <c r="Q29" s="426">
        <v>1250</v>
      </c>
      <c r="R29" s="424">
        <v>632</v>
      </c>
      <c r="S29" s="518"/>
      <c r="T29" s="513"/>
      <c r="U29" s="529"/>
      <c r="V29" s="518"/>
      <c r="W29" s="516"/>
      <c r="X29" s="58"/>
      <c r="Y29" s="508"/>
      <c r="Z29" s="508"/>
      <c r="AA29" s="508"/>
      <c r="AB29" s="508"/>
    </row>
    <row r="30" spans="2:28" x14ac:dyDescent="0.25">
      <c r="D30" s="40" t="s">
        <v>26</v>
      </c>
      <c r="E30" s="376">
        <v>30</v>
      </c>
      <c r="F30" s="57"/>
      <c r="G30" s="377"/>
      <c r="H30" s="377"/>
      <c r="I30" s="479">
        <v>69</v>
      </c>
      <c r="J30" s="381">
        <f t="shared" si="13"/>
        <v>35328</v>
      </c>
      <c r="K30" s="381"/>
      <c r="L30" s="381"/>
      <c r="M30" s="381"/>
      <c r="N30" s="41"/>
      <c r="O30" s="424">
        <v>9698</v>
      </c>
      <c r="P30" s="513"/>
      <c r="Q30" s="426">
        <v>2755</v>
      </c>
      <c r="R30" s="424">
        <v>1255</v>
      </c>
      <c r="S30" s="518"/>
      <c r="T30" s="513"/>
      <c r="U30" s="529"/>
      <c r="V30" s="518"/>
      <c r="W30" s="516"/>
      <c r="X30" s="58"/>
      <c r="Y30" s="505"/>
      <c r="Z30" s="505"/>
      <c r="AA30" s="505"/>
      <c r="AB30" s="505"/>
    </row>
    <row r="31" spans="2:28" x14ac:dyDescent="0.25">
      <c r="D31" s="40" t="s">
        <v>27</v>
      </c>
      <c r="E31" s="376">
        <v>31</v>
      </c>
      <c r="F31" s="57"/>
      <c r="G31" s="377"/>
      <c r="H31" s="377"/>
      <c r="I31" s="479">
        <v>183</v>
      </c>
      <c r="J31" s="381">
        <f t="shared" si="13"/>
        <v>93696</v>
      </c>
      <c r="K31" s="381"/>
      <c r="L31" s="381"/>
      <c r="M31" s="381"/>
      <c r="N31" s="41"/>
      <c r="O31" s="424">
        <v>9425</v>
      </c>
      <c r="P31" s="513"/>
      <c r="Q31" s="426">
        <v>5279</v>
      </c>
      <c r="R31" s="424">
        <v>1505</v>
      </c>
      <c r="S31" s="518"/>
      <c r="T31" s="513"/>
      <c r="U31" s="529"/>
      <c r="V31" s="518"/>
      <c r="W31" s="516"/>
      <c r="X31" s="58"/>
      <c r="Y31" s="504">
        <v>628</v>
      </c>
      <c r="Z31" s="504">
        <f t="shared" ref="Z31" si="17">Y31*29.08</f>
        <v>18262.239999999998</v>
      </c>
      <c r="AA31" s="504">
        <f t="shared" ref="AA31" si="18">Y31*35.46</f>
        <v>22268.880000000001</v>
      </c>
      <c r="AB31" s="504">
        <f t="shared" ref="AB31" si="19">AA31+Z31</f>
        <v>40531.119999999995</v>
      </c>
    </row>
    <row r="32" spans="2:28" x14ac:dyDescent="0.25">
      <c r="D32" s="40" t="s">
        <v>28</v>
      </c>
      <c r="E32" s="376">
        <v>30</v>
      </c>
      <c r="F32" s="57"/>
      <c r="G32" s="377"/>
      <c r="H32" s="377"/>
      <c r="I32" s="479">
        <v>321</v>
      </c>
      <c r="J32" s="381">
        <f t="shared" si="13"/>
        <v>164352</v>
      </c>
      <c r="K32" s="381"/>
      <c r="L32" s="381"/>
      <c r="M32" s="381"/>
      <c r="N32" s="41"/>
      <c r="O32" s="424">
        <v>9927</v>
      </c>
      <c r="P32" s="513"/>
      <c r="Q32" s="426">
        <v>6807</v>
      </c>
      <c r="R32" s="424">
        <v>2470</v>
      </c>
      <c r="S32" s="519"/>
      <c r="T32" s="514"/>
      <c r="U32" s="530"/>
      <c r="V32" s="519"/>
      <c r="W32" s="517"/>
      <c r="X32" s="58"/>
      <c r="Y32" s="508"/>
      <c r="Z32" s="508"/>
      <c r="AA32" s="508"/>
      <c r="AB32" s="508"/>
    </row>
    <row r="33" spans="2:28" x14ac:dyDescent="0.25">
      <c r="D33" s="40" t="s">
        <v>29</v>
      </c>
      <c r="E33" s="376">
        <v>31</v>
      </c>
      <c r="F33" s="57"/>
      <c r="G33" s="377"/>
      <c r="H33" s="377"/>
      <c r="I33" s="479">
        <v>505</v>
      </c>
      <c r="J33" s="381">
        <f t="shared" si="13"/>
        <v>258560</v>
      </c>
      <c r="K33" s="381"/>
      <c r="L33" s="381"/>
      <c r="M33" s="381"/>
      <c r="N33" s="41"/>
      <c r="O33" s="424">
        <v>8150</v>
      </c>
      <c r="P33" s="514"/>
      <c r="Q33" s="426">
        <v>6700</v>
      </c>
      <c r="R33" s="424">
        <v>2885</v>
      </c>
      <c r="S33" s="424">
        <f>R33+Q33</f>
        <v>9585</v>
      </c>
      <c r="T33" s="480">
        <v>29242.51</v>
      </c>
      <c r="U33" s="426">
        <v>130</v>
      </c>
      <c r="V33" s="424">
        <v>66</v>
      </c>
      <c r="W33" s="383">
        <v>1036.46</v>
      </c>
      <c r="X33" s="41"/>
      <c r="Y33" s="505"/>
      <c r="Z33" s="505"/>
      <c r="AA33" s="505"/>
      <c r="AB33" s="505"/>
    </row>
    <row r="34" spans="2:28" x14ac:dyDescent="0.25">
      <c r="B34" s="43"/>
      <c r="C34" s="43"/>
      <c r="D34" s="44"/>
      <c r="E34" s="60"/>
      <c r="F34" s="60"/>
      <c r="G34" s="45">
        <f>SUM(G22:G33)</f>
        <v>0</v>
      </c>
      <c r="H34" s="45">
        <f t="shared" ref="H34:M34" si="20">SUM(H22:H33)</f>
        <v>0</v>
      </c>
      <c r="I34" s="45">
        <f t="shared" si="20"/>
        <v>2866</v>
      </c>
      <c r="J34" s="45">
        <f t="shared" si="20"/>
        <v>1467392</v>
      </c>
      <c r="K34" s="45">
        <f t="shared" si="20"/>
        <v>0</v>
      </c>
      <c r="L34" s="45">
        <f t="shared" si="20"/>
        <v>0</v>
      </c>
      <c r="M34" s="45">
        <f t="shared" si="20"/>
        <v>0</v>
      </c>
      <c r="N34" s="45"/>
      <c r="O34" s="390">
        <f>SUM(O22:O33)</f>
        <v>106176</v>
      </c>
      <c r="P34" s="391">
        <f>SUM(P22:P33)</f>
        <v>400654.36</v>
      </c>
      <c r="Q34" s="392">
        <f>SUM(Q22:Q33)</f>
        <v>54018</v>
      </c>
      <c r="R34" s="458">
        <f>SUM(R22:R33)</f>
        <v>20843</v>
      </c>
      <c r="S34" s="393"/>
      <c r="T34" s="481">
        <f>SUM(T22:T33)</f>
        <v>236361.53</v>
      </c>
      <c r="U34" s="390">
        <f>SUM(U22:U33)</f>
        <v>937</v>
      </c>
      <c r="V34" s="458">
        <f>SUM(V22:V33)</f>
        <v>490</v>
      </c>
      <c r="W34" s="391">
        <f>SUM(W22:W33)</f>
        <v>7868.38</v>
      </c>
      <c r="X34" s="45"/>
      <c r="Y34" s="45">
        <f t="shared" ref="Y34" si="21">SUM(Y22:Y33)</f>
        <v>2099</v>
      </c>
      <c r="Z34" s="45"/>
      <c r="AA34" s="45"/>
      <c r="AB34" s="45">
        <f t="shared" ref="AB34" si="22">SUM(AB22:AB33)</f>
        <v>135469.46</v>
      </c>
    </row>
    <row r="35" spans="2:28" ht="15.75" x14ac:dyDescent="0.25">
      <c r="B35" s="396"/>
      <c r="C35" s="397"/>
      <c r="D35" s="398" t="s">
        <v>34</v>
      </c>
      <c r="G35" s="48">
        <v>0.15</v>
      </c>
      <c r="H35" s="49">
        <f>H34*(1+G35)</f>
        <v>0</v>
      </c>
      <c r="I35" s="49">
        <f>I34/3.6</f>
        <v>796.11111111111109</v>
      </c>
      <c r="J35" s="49">
        <f>J34*(1+G35)</f>
        <v>1687500.7999999998</v>
      </c>
      <c r="K35" s="50"/>
      <c r="L35" s="51"/>
      <c r="M35" s="49">
        <f>M34*(1+G35)</f>
        <v>0</v>
      </c>
      <c r="N35" s="42"/>
      <c r="O35" s="400">
        <v>0.21</v>
      </c>
      <c r="P35" s="401">
        <f>P34*(1+O35)</f>
        <v>484791.77559999999</v>
      </c>
      <c r="Q35" s="402">
        <v>0.21</v>
      </c>
      <c r="R35" s="400"/>
      <c r="S35" s="400"/>
      <c r="T35" s="482">
        <f>T34*(1+Q35)</f>
        <v>285997.45130000002</v>
      </c>
      <c r="U35" s="400">
        <v>0.21</v>
      </c>
      <c r="V35" s="400"/>
      <c r="W35" s="401">
        <f>W34*(1+U35)</f>
        <v>9520.7397999999994</v>
      </c>
      <c r="X35" s="42"/>
      <c r="Y35" s="48">
        <v>0.15</v>
      </c>
      <c r="Z35" s="48"/>
      <c r="AA35" s="48"/>
      <c r="AB35" s="49">
        <f>AB34*(1+Y35)</f>
        <v>155789.87899999999</v>
      </c>
    </row>
    <row r="36" spans="2:28" ht="15.75" x14ac:dyDescent="0.2">
      <c r="B36" s="396"/>
      <c r="C36" s="397"/>
      <c r="D36" s="398"/>
      <c r="G36" s="404"/>
      <c r="H36" s="405"/>
      <c r="I36" s="405"/>
      <c r="J36" s="405"/>
      <c r="K36" s="406"/>
      <c r="L36" s="54"/>
      <c r="M36" s="405"/>
      <c r="N36" s="411"/>
      <c r="O36" s="407"/>
      <c r="P36" s="408"/>
      <c r="Q36" s="409"/>
      <c r="R36" s="407"/>
      <c r="S36" s="410"/>
      <c r="T36" s="483"/>
      <c r="U36" s="407"/>
      <c r="V36" s="407"/>
      <c r="W36" s="408"/>
      <c r="X36" s="411"/>
      <c r="Y36" s="404"/>
      <c r="Z36" s="404"/>
      <c r="AA36" s="404"/>
      <c r="AB36" s="405"/>
    </row>
    <row r="37" spans="2:28" ht="20.100000000000001" customHeight="1" x14ac:dyDescent="0.25">
      <c r="G37" s="53"/>
      <c r="H37" s="63"/>
      <c r="I37" s="63"/>
      <c r="J37" s="63"/>
      <c r="K37" s="63"/>
      <c r="L37" s="63"/>
      <c r="M37" s="63"/>
      <c r="N37" s="65"/>
      <c r="O37" s="413"/>
      <c r="P37" s="414"/>
      <c r="Q37" s="415"/>
      <c r="R37" s="465"/>
      <c r="S37" s="416"/>
      <c r="T37" s="484"/>
      <c r="U37" s="413"/>
      <c r="V37" s="465"/>
      <c r="W37" s="414"/>
      <c r="X37" s="65"/>
      <c r="Y37" s="63"/>
      <c r="Z37" s="63"/>
      <c r="AA37" s="63"/>
      <c r="AB37" s="63"/>
    </row>
    <row r="38" spans="2:28" ht="15.75" x14ac:dyDescent="0.25">
      <c r="B38" s="47">
        <f>B22+1</f>
        <v>2017</v>
      </c>
      <c r="D38" s="40" t="s">
        <v>18</v>
      </c>
      <c r="E38" s="376">
        <v>31</v>
      </c>
      <c r="F38" s="57"/>
      <c r="G38" s="377"/>
      <c r="H38" s="377"/>
      <c r="I38" s="479">
        <v>537</v>
      </c>
      <c r="J38" s="377">
        <v>248813.58</v>
      </c>
      <c r="K38" s="422"/>
      <c r="L38" s="422"/>
      <c r="M38" s="422"/>
      <c r="N38" s="66"/>
      <c r="O38" s="424">
        <v>9293</v>
      </c>
      <c r="P38" s="512">
        <v>195658.08</v>
      </c>
      <c r="Q38" s="426">
        <v>7735</v>
      </c>
      <c r="R38" s="424">
        <v>2960</v>
      </c>
      <c r="S38" s="504">
        <f>SUM(Q38:R48)</f>
        <v>66511</v>
      </c>
      <c r="T38" s="512">
        <v>202504.61</v>
      </c>
      <c r="U38" s="510">
        <v>789</v>
      </c>
      <c r="V38" s="504">
        <v>409</v>
      </c>
      <c r="W38" s="515">
        <v>6542.52</v>
      </c>
      <c r="X38" s="58"/>
      <c r="Y38" s="504">
        <v>592</v>
      </c>
      <c r="Z38" s="504">
        <f>Y38*29.86</f>
        <v>17677.12</v>
      </c>
      <c r="AA38" s="504">
        <f>Y38*36.38</f>
        <v>21536.960000000003</v>
      </c>
      <c r="AB38" s="504">
        <f>AA38+Z38</f>
        <v>39214.080000000002</v>
      </c>
    </row>
    <row r="39" spans="2:28" x14ac:dyDescent="0.25">
      <c r="D39" s="40" t="s">
        <v>19</v>
      </c>
      <c r="E39" s="376">
        <v>28</v>
      </c>
      <c r="F39" s="57"/>
      <c r="G39" s="377"/>
      <c r="H39" s="377"/>
      <c r="I39" s="479">
        <v>399</v>
      </c>
      <c r="J39" s="377">
        <v>184872.66</v>
      </c>
      <c r="K39" s="422"/>
      <c r="L39" s="422"/>
      <c r="M39" s="422"/>
      <c r="N39" s="66"/>
      <c r="O39" s="424">
        <v>8006</v>
      </c>
      <c r="P39" s="513"/>
      <c r="Q39" s="426">
        <v>5487</v>
      </c>
      <c r="R39" s="424">
        <v>2589</v>
      </c>
      <c r="S39" s="508"/>
      <c r="T39" s="513"/>
      <c r="U39" s="523"/>
      <c r="V39" s="508"/>
      <c r="W39" s="516"/>
      <c r="X39" s="58"/>
      <c r="Y39" s="508"/>
      <c r="Z39" s="508"/>
      <c r="AA39" s="508"/>
      <c r="AB39" s="508"/>
    </row>
    <row r="40" spans="2:28" x14ac:dyDescent="0.25">
      <c r="D40" s="40" t="s">
        <v>20</v>
      </c>
      <c r="E40" s="376">
        <v>31</v>
      </c>
      <c r="F40" s="57"/>
      <c r="G40" s="377"/>
      <c r="H40" s="377"/>
      <c r="I40" s="479">
        <v>290</v>
      </c>
      <c r="J40" s="377">
        <v>134368.6</v>
      </c>
      <c r="K40" s="422"/>
      <c r="L40" s="422"/>
      <c r="M40" s="422"/>
      <c r="N40" s="66"/>
      <c r="O40" s="424">
        <v>8826</v>
      </c>
      <c r="P40" s="513"/>
      <c r="Q40" s="426">
        <v>4411</v>
      </c>
      <c r="R40" s="424">
        <v>1837</v>
      </c>
      <c r="S40" s="508"/>
      <c r="T40" s="513"/>
      <c r="U40" s="523"/>
      <c r="V40" s="508"/>
      <c r="W40" s="516"/>
      <c r="X40" s="58"/>
      <c r="Y40" s="505"/>
      <c r="Z40" s="505"/>
      <c r="AA40" s="505"/>
      <c r="AB40" s="505"/>
    </row>
    <row r="41" spans="2:28" x14ac:dyDescent="0.25">
      <c r="D41" s="40" t="s">
        <v>21</v>
      </c>
      <c r="E41" s="376">
        <v>30</v>
      </c>
      <c r="F41" s="57"/>
      <c r="G41" s="377"/>
      <c r="H41" s="377"/>
      <c r="I41" s="479">
        <v>259</v>
      </c>
      <c r="J41" s="377">
        <v>120005.06</v>
      </c>
      <c r="K41" s="422"/>
      <c r="L41" s="422"/>
      <c r="M41" s="422"/>
      <c r="N41" s="66"/>
      <c r="O41" s="424">
        <v>8147</v>
      </c>
      <c r="P41" s="513"/>
      <c r="Q41" s="426">
        <v>4258</v>
      </c>
      <c r="R41" s="424">
        <v>1865</v>
      </c>
      <c r="S41" s="508"/>
      <c r="T41" s="513"/>
      <c r="U41" s="523"/>
      <c r="V41" s="508"/>
      <c r="W41" s="516"/>
      <c r="X41" s="58"/>
      <c r="Y41" s="504">
        <v>763</v>
      </c>
      <c r="Z41" s="504">
        <f t="shared" ref="Z41" si="23">Y41*29.86</f>
        <v>22783.18</v>
      </c>
      <c r="AA41" s="504">
        <f t="shared" ref="AA41" si="24">Y41*36.38</f>
        <v>27757.940000000002</v>
      </c>
      <c r="AB41" s="504">
        <f t="shared" ref="AB41" si="25">AA41+Z41</f>
        <v>50541.120000000003</v>
      </c>
    </row>
    <row r="42" spans="2:28" x14ac:dyDescent="0.25">
      <c r="D42" s="40" t="s">
        <v>22</v>
      </c>
      <c r="E42" s="376">
        <v>31</v>
      </c>
      <c r="F42" s="57"/>
      <c r="G42" s="377"/>
      <c r="H42" s="377"/>
      <c r="I42" s="479">
        <v>125</v>
      </c>
      <c r="J42" s="377">
        <v>57917.5</v>
      </c>
      <c r="K42" s="422"/>
      <c r="L42" s="422"/>
      <c r="M42" s="422"/>
      <c r="N42" s="66"/>
      <c r="O42" s="424">
        <v>9845</v>
      </c>
      <c r="P42" s="513"/>
      <c r="Q42" s="426">
        <v>3276</v>
      </c>
      <c r="R42" s="424">
        <v>1595</v>
      </c>
      <c r="S42" s="508"/>
      <c r="T42" s="513"/>
      <c r="U42" s="523"/>
      <c r="V42" s="508"/>
      <c r="W42" s="516"/>
      <c r="X42" s="58"/>
      <c r="Y42" s="508"/>
      <c r="Z42" s="508"/>
      <c r="AA42" s="508"/>
      <c r="AB42" s="508"/>
    </row>
    <row r="43" spans="2:28" x14ac:dyDescent="0.25">
      <c r="D43" s="40" t="s">
        <v>23</v>
      </c>
      <c r="E43" s="376">
        <v>30</v>
      </c>
      <c r="F43" s="57"/>
      <c r="G43" s="377"/>
      <c r="H43" s="377"/>
      <c r="I43" s="479">
        <v>63</v>
      </c>
      <c r="J43" s="377">
        <v>29190.42</v>
      </c>
      <c r="K43" s="422"/>
      <c r="L43" s="422"/>
      <c r="M43" s="422"/>
      <c r="N43" s="66"/>
      <c r="O43" s="424">
        <v>9675</v>
      </c>
      <c r="P43" s="514"/>
      <c r="Q43" s="426">
        <v>2812</v>
      </c>
      <c r="R43" s="424">
        <v>1137</v>
      </c>
      <c r="S43" s="508"/>
      <c r="T43" s="513"/>
      <c r="U43" s="523"/>
      <c r="V43" s="508"/>
      <c r="W43" s="516"/>
      <c r="X43" s="58"/>
      <c r="Y43" s="505"/>
      <c r="Z43" s="505"/>
      <c r="AA43" s="505"/>
      <c r="AB43" s="505"/>
    </row>
    <row r="44" spans="2:28" x14ac:dyDescent="0.25">
      <c r="D44" s="40" t="s">
        <v>24</v>
      </c>
      <c r="E44" s="376">
        <v>31</v>
      </c>
      <c r="F44" s="57"/>
      <c r="G44" s="377"/>
      <c r="H44" s="377"/>
      <c r="I44" s="479">
        <v>67</v>
      </c>
      <c r="J44" s="377">
        <v>31043.78</v>
      </c>
      <c r="K44" s="422"/>
      <c r="L44" s="422"/>
      <c r="M44" s="422"/>
      <c r="N44" s="66"/>
      <c r="O44" s="424">
        <v>3994</v>
      </c>
      <c r="P44" s="512">
        <v>164644.19</v>
      </c>
      <c r="Q44" s="426">
        <v>1163</v>
      </c>
      <c r="R44" s="424">
        <v>640</v>
      </c>
      <c r="S44" s="508"/>
      <c r="T44" s="513"/>
      <c r="U44" s="523"/>
      <c r="V44" s="508"/>
      <c r="W44" s="516"/>
      <c r="X44" s="58"/>
      <c r="Y44" s="504">
        <v>385</v>
      </c>
      <c r="Z44" s="504">
        <f t="shared" ref="Z44" si="26">Y44*29.86</f>
        <v>11496.1</v>
      </c>
      <c r="AA44" s="504">
        <f t="shared" ref="AA44" si="27">Y44*36.38</f>
        <v>14006.300000000001</v>
      </c>
      <c r="AB44" s="504">
        <f t="shared" ref="AB44" si="28">AA44+Z44</f>
        <v>25502.400000000001</v>
      </c>
    </row>
    <row r="45" spans="2:28" x14ac:dyDescent="0.25">
      <c r="D45" s="40" t="s">
        <v>25</v>
      </c>
      <c r="E45" s="376">
        <v>31</v>
      </c>
      <c r="F45" s="57"/>
      <c r="G45" s="377"/>
      <c r="H45" s="377"/>
      <c r="I45" s="479">
        <v>64</v>
      </c>
      <c r="J45" s="377">
        <v>29653.759999999998</v>
      </c>
      <c r="K45" s="422"/>
      <c r="L45" s="422"/>
      <c r="M45" s="422"/>
      <c r="N45" s="66"/>
      <c r="O45" s="424">
        <v>2991</v>
      </c>
      <c r="P45" s="513"/>
      <c r="Q45" s="426">
        <v>1378</v>
      </c>
      <c r="R45" s="424">
        <v>649</v>
      </c>
      <c r="S45" s="508"/>
      <c r="T45" s="513"/>
      <c r="U45" s="523"/>
      <c r="V45" s="508"/>
      <c r="W45" s="516"/>
      <c r="X45" s="58"/>
      <c r="Y45" s="508"/>
      <c r="Z45" s="508"/>
      <c r="AA45" s="508"/>
      <c r="AB45" s="508"/>
    </row>
    <row r="46" spans="2:28" x14ac:dyDescent="0.25">
      <c r="D46" s="40" t="s">
        <v>26</v>
      </c>
      <c r="E46" s="376">
        <v>30</v>
      </c>
      <c r="F46" s="57"/>
      <c r="G46" s="377"/>
      <c r="H46" s="377"/>
      <c r="I46" s="478">
        <v>129</v>
      </c>
      <c r="J46" s="485">
        <v>59770.86</v>
      </c>
      <c r="K46" s="422"/>
      <c r="L46" s="422"/>
      <c r="M46" s="422"/>
      <c r="N46" s="66"/>
      <c r="O46" s="424">
        <v>9228</v>
      </c>
      <c r="P46" s="513"/>
      <c r="Q46" s="426">
        <v>3960</v>
      </c>
      <c r="R46" s="424">
        <v>1330</v>
      </c>
      <c r="S46" s="508"/>
      <c r="T46" s="513"/>
      <c r="U46" s="523"/>
      <c r="V46" s="508"/>
      <c r="W46" s="516"/>
      <c r="X46" s="58"/>
      <c r="Y46" s="505"/>
      <c r="Z46" s="505"/>
      <c r="AA46" s="505"/>
      <c r="AB46" s="505"/>
    </row>
    <row r="47" spans="2:28" x14ac:dyDescent="0.25">
      <c r="D47" s="40" t="s">
        <v>27</v>
      </c>
      <c r="E47" s="376">
        <v>31</v>
      </c>
      <c r="F47" s="57"/>
      <c r="G47" s="377"/>
      <c r="H47" s="377"/>
      <c r="I47" s="479">
        <v>198</v>
      </c>
      <c r="J47" s="377">
        <v>91741.32</v>
      </c>
      <c r="K47" s="422"/>
      <c r="L47" s="422"/>
      <c r="M47" s="422"/>
      <c r="N47" s="66"/>
      <c r="O47" s="424">
        <v>10295</v>
      </c>
      <c r="P47" s="513"/>
      <c r="Q47" s="426">
        <v>6047</v>
      </c>
      <c r="R47" s="424">
        <v>1565</v>
      </c>
      <c r="S47" s="508"/>
      <c r="T47" s="513"/>
      <c r="U47" s="523"/>
      <c r="V47" s="508"/>
      <c r="W47" s="516"/>
      <c r="X47" s="58"/>
      <c r="Y47" s="504">
        <v>804</v>
      </c>
      <c r="Z47" s="504">
        <f t="shared" ref="Z47" si="29">Y47*29.86</f>
        <v>24007.439999999999</v>
      </c>
      <c r="AA47" s="504">
        <f t="shared" ref="AA47" si="30">Y47*36.38</f>
        <v>29249.52</v>
      </c>
      <c r="AB47" s="504">
        <f t="shared" ref="AB47" si="31">AA47+Z47</f>
        <v>53256.959999999999</v>
      </c>
    </row>
    <row r="48" spans="2:28" x14ac:dyDescent="0.25">
      <c r="D48" s="40" t="s">
        <v>28</v>
      </c>
      <c r="E48" s="376">
        <v>30</v>
      </c>
      <c r="F48" s="57"/>
      <c r="G48" s="377"/>
      <c r="H48" s="377"/>
      <c r="I48" s="479">
        <v>339</v>
      </c>
      <c r="J48" s="377">
        <v>157072.26</v>
      </c>
      <c r="K48" s="422"/>
      <c r="L48" s="422"/>
      <c r="M48" s="422"/>
      <c r="N48" s="66"/>
      <c r="O48" s="424">
        <v>10368</v>
      </c>
      <c r="P48" s="513"/>
      <c r="Q48" s="426">
        <v>7643</v>
      </c>
      <c r="R48" s="424">
        <v>2174</v>
      </c>
      <c r="S48" s="505"/>
      <c r="T48" s="514"/>
      <c r="U48" s="511"/>
      <c r="V48" s="505"/>
      <c r="W48" s="517"/>
      <c r="X48" s="58"/>
      <c r="Y48" s="508"/>
      <c r="Z48" s="508"/>
      <c r="AA48" s="508"/>
      <c r="AB48" s="508"/>
    </row>
    <row r="49" spans="2:28" x14ac:dyDescent="0.25">
      <c r="D49" s="40" t="s">
        <v>29</v>
      </c>
      <c r="E49" s="376">
        <v>31</v>
      </c>
      <c r="F49" s="57"/>
      <c r="G49" s="377"/>
      <c r="H49" s="377"/>
      <c r="I49" s="479">
        <v>501</v>
      </c>
      <c r="J49" s="377">
        <v>232133.34</v>
      </c>
      <c r="K49" s="422"/>
      <c r="L49" s="422"/>
      <c r="M49" s="422"/>
      <c r="N49" s="66"/>
      <c r="O49" s="424">
        <v>8070</v>
      </c>
      <c r="P49" s="514"/>
      <c r="Q49" s="426">
        <v>7152</v>
      </c>
      <c r="R49" s="424">
        <v>2263</v>
      </c>
      <c r="S49" s="424">
        <f>R49+Q49</f>
        <v>9415</v>
      </c>
      <c r="T49" s="480">
        <v>28740.61</v>
      </c>
      <c r="U49" s="426">
        <v>116</v>
      </c>
      <c r="V49" s="424">
        <v>67</v>
      </c>
      <c r="W49" s="430">
        <v>969.78</v>
      </c>
      <c r="X49" s="41"/>
      <c r="Y49" s="505"/>
      <c r="Z49" s="505"/>
      <c r="AA49" s="505"/>
      <c r="AB49" s="505"/>
    </row>
    <row r="50" spans="2:28" x14ac:dyDescent="0.25">
      <c r="B50" s="43"/>
      <c r="C50" s="43"/>
      <c r="D50" s="44"/>
      <c r="E50" s="60"/>
      <c r="F50" s="60"/>
      <c r="G50" s="45">
        <f>SUM(G38:G49)</f>
        <v>0</v>
      </c>
      <c r="H50" s="45">
        <f t="shared" ref="H50:M50" si="32">SUM(H38:H49)</f>
        <v>0</v>
      </c>
      <c r="I50" s="45">
        <f t="shared" si="32"/>
        <v>2971</v>
      </c>
      <c r="J50" s="45">
        <f t="shared" si="32"/>
        <v>1376583.1400000001</v>
      </c>
      <c r="K50" s="45">
        <f t="shared" si="32"/>
        <v>0</v>
      </c>
      <c r="L50" s="45">
        <f t="shared" si="32"/>
        <v>0</v>
      </c>
      <c r="M50" s="45">
        <f t="shared" si="32"/>
        <v>0</v>
      </c>
      <c r="N50" s="45"/>
      <c r="O50" s="390">
        <f>SUM(O38:O49)</f>
        <v>98738</v>
      </c>
      <c r="P50" s="391">
        <f>SUM(P38:P49)</f>
        <v>360302.27</v>
      </c>
      <c r="Q50" s="427">
        <f>SUM(Q38:Q49)</f>
        <v>55322</v>
      </c>
      <c r="R50" s="468">
        <f>SUM(R38:R49)</f>
        <v>20604</v>
      </c>
      <c r="S50" s="393"/>
      <c r="T50" s="481">
        <f>SUM(T38:T49)</f>
        <v>231245.21999999997</v>
      </c>
      <c r="U50" s="390">
        <f>SUM(U38:U49)</f>
        <v>905</v>
      </c>
      <c r="V50" s="468">
        <f>SUM(V38:V49)</f>
        <v>476</v>
      </c>
      <c r="W50" s="391">
        <f>SUM(W38:W49)</f>
        <v>7512.3</v>
      </c>
      <c r="X50" s="45"/>
      <c r="Y50" s="45">
        <f t="shared" ref="Y50" si="33">SUM(Y38:Y49)</f>
        <v>2544</v>
      </c>
      <c r="Z50" s="45"/>
      <c r="AA50" s="45"/>
      <c r="AB50" s="45">
        <f t="shared" ref="AB50" si="34">SUM(AB38:AB49)</f>
        <v>168514.56</v>
      </c>
    </row>
    <row r="51" spans="2:28" ht="15.75" x14ac:dyDescent="0.25">
      <c r="B51" s="396"/>
      <c r="C51" s="397"/>
      <c r="D51" s="398" t="s">
        <v>34</v>
      </c>
      <c r="G51" s="48">
        <v>0.15</v>
      </c>
      <c r="H51" s="49">
        <f>H50*(1+G51)</f>
        <v>0</v>
      </c>
      <c r="I51" s="49">
        <f>I50/3.6</f>
        <v>825.27777777777771</v>
      </c>
      <c r="J51" s="49">
        <f>J50*(1+G51)</f>
        <v>1583070.611</v>
      </c>
      <c r="K51" s="50"/>
      <c r="L51" s="51"/>
      <c r="M51" s="49">
        <f>M50*(1+G51)</f>
        <v>0</v>
      </c>
      <c r="N51" s="42"/>
      <c r="O51" s="400">
        <v>0.21</v>
      </c>
      <c r="P51" s="401">
        <f>P50*(1+O51)</f>
        <v>435965.74670000002</v>
      </c>
      <c r="Q51" s="402">
        <v>0.21</v>
      </c>
      <c r="R51" s="400"/>
      <c r="S51" s="400"/>
      <c r="T51" s="482">
        <f>T50*(1+Q51)</f>
        <v>279806.71619999997</v>
      </c>
      <c r="U51" s="400">
        <v>0.21</v>
      </c>
      <c r="V51" s="400"/>
      <c r="W51" s="401">
        <f>W50*(1+U51)</f>
        <v>9089.8829999999998</v>
      </c>
      <c r="X51" s="42"/>
      <c r="Y51" s="48">
        <v>0.15</v>
      </c>
      <c r="Z51" s="48"/>
      <c r="AA51" s="48"/>
      <c r="AB51" s="49">
        <f>AB50*(1+Y51)</f>
        <v>193791.74399999998</v>
      </c>
    </row>
    <row r="52" spans="2:28" ht="15.75" x14ac:dyDescent="0.25">
      <c r="B52" s="396"/>
      <c r="C52" s="397"/>
      <c r="D52" s="398"/>
      <c r="G52" s="404"/>
      <c r="H52" s="405"/>
      <c r="I52" s="405"/>
      <c r="J52" s="405"/>
      <c r="K52" s="406"/>
      <c r="L52" s="54"/>
      <c r="M52" s="405"/>
      <c r="N52" s="411"/>
      <c r="O52" s="407"/>
      <c r="P52" s="408"/>
      <c r="Q52" s="409"/>
      <c r="R52" s="407"/>
      <c r="S52" s="407"/>
      <c r="T52" s="483"/>
      <c r="U52" s="407"/>
      <c r="V52" s="407"/>
      <c r="W52" s="408"/>
      <c r="X52" s="411"/>
      <c r="Y52" s="404"/>
      <c r="Z52" s="404"/>
      <c r="AA52" s="404"/>
      <c r="AB52" s="405"/>
    </row>
    <row r="53" spans="2:28" ht="15.75" hidden="1" customHeight="1" outlineLevel="1" x14ac:dyDescent="0.25">
      <c r="B53" s="396"/>
      <c r="C53" s="397"/>
      <c r="D53" s="398"/>
      <c r="G53" s="404"/>
      <c r="H53" s="405"/>
      <c r="I53" s="405"/>
      <c r="J53" s="405"/>
      <c r="K53" s="406"/>
      <c r="L53" s="54"/>
      <c r="M53" s="405"/>
      <c r="N53" s="411"/>
      <c r="O53" s="407"/>
      <c r="P53" s="408"/>
      <c r="Q53" s="409"/>
      <c r="R53" s="407"/>
      <c r="S53" s="407"/>
      <c r="T53" s="408"/>
      <c r="U53" s="407"/>
      <c r="V53" s="407"/>
      <c r="W53" s="408"/>
      <c r="X53" s="411"/>
      <c r="Y53" s="404"/>
      <c r="Z53" s="404"/>
      <c r="AA53" s="404"/>
      <c r="AB53" s="405"/>
    </row>
    <row r="54" spans="2:28" ht="15.75" hidden="1" customHeight="1" outlineLevel="1" x14ac:dyDescent="0.25">
      <c r="B54" s="47">
        <f>B38+1</f>
        <v>2018</v>
      </c>
      <c r="D54" s="40" t="s">
        <v>18</v>
      </c>
      <c r="E54" s="376">
        <v>31</v>
      </c>
      <c r="F54" s="57"/>
      <c r="G54" s="377"/>
      <c r="H54" s="377"/>
      <c r="I54" s="377"/>
      <c r="J54" s="377"/>
      <c r="K54" s="422"/>
      <c r="L54" s="422"/>
      <c r="M54" s="422"/>
      <c r="N54" s="66"/>
      <c r="O54" s="424"/>
      <c r="P54" s="436"/>
      <c r="Q54" s="426"/>
      <c r="R54" s="437"/>
      <c r="S54" s="437"/>
      <c r="T54" s="430"/>
      <c r="U54" s="424"/>
      <c r="V54" s="437"/>
      <c r="W54" s="436"/>
      <c r="X54" s="58"/>
      <c r="Y54" s="388"/>
      <c r="Z54" s="388"/>
      <c r="AA54" s="388"/>
      <c r="AB54" s="469"/>
    </row>
    <row r="55" spans="2:28" ht="15" hidden="1" customHeight="1" outlineLevel="1" x14ac:dyDescent="0.25">
      <c r="D55" s="40" t="s">
        <v>19</v>
      </c>
      <c r="E55" s="376">
        <v>28</v>
      </c>
      <c r="F55" s="57"/>
      <c r="G55" s="377"/>
      <c r="H55" s="377"/>
      <c r="I55" s="377"/>
      <c r="J55" s="377"/>
      <c r="K55" s="422"/>
      <c r="L55" s="422"/>
      <c r="M55" s="422"/>
      <c r="N55" s="66"/>
      <c r="O55" s="424"/>
      <c r="P55" s="436"/>
      <c r="Q55" s="426"/>
      <c r="R55" s="437"/>
      <c r="S55" s="437"/>
      <c r="T55" s="430"/>
      <c r="U55" s="424"/>
      <c r="V55" s="437"/>
      <c r="W55" s="436"/>
      <c r="X55" s="58"/>
      <c r="Y55" s="388"/>
      <c r="Z55" s="388"/>
      <c r="AA55" s="388"/>
      <c r="AB55" s="469"/>
    </row>
    <row r="56" spans="2:28" ht="15" hidden="1" customHeight="1" outlineLevel="1" x14ac:dyDescent="0.25">
      <c r="D56" s="40" t="s">
        <v>20</v>
      </c>
      <c r="E56" s="376">
        <v>31</v>
      </c>
      <c r="F56" s="57"/>
      <c r="G56" s="377"/>
      <c r="H56" s="377"/>
      <c r="I56" s="377"/>
      <c r="J56" s="377"/>
      <c r="K56" s="422"/>
      <c r="L56" s="422"/>
      <c r="M56" s="422"/>
      <c r="N56" s="66"/>
      <c r="O56" s="424"/>
      <c r="P56" s="436"/>
      <c r="Q56" s="426"/>
      <c r="R56" s="437"/>
      <c r="S56" s="437"/>
      <c r="T56" s="430"/>
      <c r="U56" s="424"/>
      <c r="V56" s="437"/>
      <c r="W56" s="436"/>
      <c r="X56" s="58"/>
      <c r="Y56" s="388"/>
      <c r="Z56" s="388"/>
      <c r="AA56" s="388"/>
      <c r="AB56" s="469"/>
    </row>
    <row r="57" spans="2:28" ht="15" hidden="1" customHeight="1" outlineLevel="1" x14ac:dyDescent="0.25">
      <c r="D57" s="40" t="s">
        <v>21</v>
      </c>
      <c r="E57" s="376">
        <v>30</v>
      </c>
      <c r="F57" s="57"/>
      <c r="G57" s="377"/>
      <c r="H57" s="377"/>
      <c r="I57" s="377"/>
      <c r="J57" s="377"/>
      <c r="K57" s="422"/>
      <c r="L57" s="422"/>
      <c r="M57" s="422"/>
      <c r="N57" s="66"/>
      <c r="O57" s="424"/>
      <c r="P57" s="436"/>
      <c r="Q57" s="426"/>
      <c r="R57" s="437"/>
      <c r="S57" s="437"/>
      <c r="T57" s="430"/>
      <c r="U57" s="424"/>
      <c r="V57" s="437"/>
      <c r="W57" s="436"/>
      <c r="X57" s="58"/>
      <c r="Y57" s="388"/>
      <c r="Z57" s="388"/>
      <c r="AA57" s="388"/>
      <c r="AB57" s="469"/>
    </row>
    <row r="58" spans="2:28" ht="15" hidden="1" customHeight="1" outlineLevel="1" x14ac:dyDescent="0.25">
      <c r="D58" s="40" t="s">
        <v>22</v>
      </c>
      <c r="E58" s="376">
        <v>31</v>
      </c>
      <c r="F58" s="57"/>
      <c r="G58" s="377"/>
      <c r="H58" s="377"/>
      <c r="I58" s="377"/>
      <c r="J58" s="377"/>
      <c r="K58" s="422"/>
      <c r="L58" s="422"/>
      <c r="M58" s="422"/>
      <c r="N58" s="66"/>
      <c r="O58" s="424"/>
      <c r="P58" s="436"/>
      <c r="Q58" s="426"/>
      <c r="R58" s="437"/>
      <c r="S58" s="437"/>
      <c r="T58" s="430"/>
      <c r="U58" s="424"/>
      <c r="V58" s="437"/>
      <c r="W58" s="436"/>
      <c r="X58" s="58"/>
      <c r="Y58" s="388"/>
      <c r="Z58" s="388"/>
      <c r="AA58" s="388"/>
      <c r="AB58" s="469"/>
    </row>
    <row r="59" spans="2:28" ht="15" hidden="1" customHeight="1" outlineLevel="1" x14ac:dyDescent="0.25">
      <c r="D59" s="40" t="s">
        <v>23</v>
      </c>
      <c r="E59" s="376">
        <v>30</v>
      </c>
      <c r="F59" s="57"/>
      <c r="G59" s="377"/>
      <c r="H59" s="377"/>
      <c r="I59" s="377"/>
      <c r="J59" s="377"/>
      <c r="K59" s="422"/>
      <c r="L59" s="422"/>
      <c r="M59" s="422"/>
      <c r="N59" s="66"/>
      <c r="O59" s="424"/>
      <c r="P59" s="436"/>
      <c r="Q59" s="426"/>
      <c r="R59" s="437"/>
      <c r="S59" s="437"/>
      <c r="T59" s="430"/>
      <c r="U59" s="424"/>
      <c r="V59" s="437"/>
      <c r="W59" s="436"/>
      <c r="X59" s="58"/>
      <c r="Y59" s="388"/>
      <c r="Z59" s="388"/>
      <c r="AA59" s="388"/>
      <c r="AB59" s="469"/>
    </row>
    <row r="60" spans="2:28" ht="15" hidden="1" customHeight="1" outlineLevel="1" x14ac:dyDescent="0.25">
      <c r="D60" s="40" t="s">
        <v>24</v>
      </c>
      <c r="E60" s="376">
        <v>31</v>
      </c>
      <c r="F60" s="57"/>
      <c r="G60" s="377"/>
      <c r="H60" s="377"/>
      <c r="I60" s="377"/>
      <c r="J60" s="377"/>
      <c r="K60" s="422"/>
      <c r="L60" s="422"/>
      <c r="M60" s="422"/>
      <c r="N60" s="66"/>
      <c r="O60" s="424"/>
      <c r="P60" s="436"/>
      <c r="Q60" s="426"/>
      <c r="R60" s="437"/>
      <c r="S60" s="437"/>
      <c r="T60" s="430"/>
      <c r="U60" s="424"/>
      <c r="V60" s="437"/>
      <c r="W60" s="436"/>
      <c r="X60" s="58"/>
      <c r="Y60" s="388"/>
      <c r="Z60" s="388"/>
      <c r="AA60" s="388"/>
      <c r="AB60" s="469"/>
    </row>
    <row r="61" spans="2:28" ht="15" hidden="1" customHeight="1" outlineLevel="1" x14ac:dyDescent="0.25">
      <c r="D61" s="40" t="s">
        <v>25</v>
      </c>
      <c r="E61" s="376">
        <v>31</v>
      </c>
      <c r="F61" s="57"/>
      <c r="G61" s="377"/>
      <c r="H61" s="377"/>
      <c r="I61" s="377"/>
      <c r="J61" s="377"/>
      <c r="K61" s="422"/>
      <c r="L61" s="422"/>
      <c r="M61" s="422"/>
      <c r="N61" s="66"/>
      <c r="O61" s="424"/>
      <c r="P61" s="436"/>
      <c r="Q61" s="426"/>
      <c r="R61" s="437"/>
      <c r="S61" s="437"/>
      <c r="T61" s="430"/>
      <c r="U61" s="424"/>
      <c r="V61" s="437"/>
      <c r="W61" s="436"/>
      <c r="X61" s="58"/>
      <c r="Y61" s="388"/>
      <c r="Z61" s="388"/>
      <c r="AA61" s="388"/>
      <c r="AB61" s="469"/>
    </row>
    <row r="62" spans="2:28" ht="15" hidden="1" customHeight="1" outlineLevel="1" x14ac:dyDescent="0.25">
      <c r="D62" s="40" t="s">
        <v>26</v>
      </c>
      <c r="E62" s="376">
        <v>30</v>
      </c>
      <c r="F62" s="57"/>
      <c r="G62" s="377"/>
      <c r="H62" s="377"/>
      <c r="I62" s="377"/>
      <c r="J62" s="377"/>
      <c r="K62" s="422"/>
      <c r="L62" s="422"/>
      <c r="M62" s="422"/>
      <c r="N62" s="66"/>
      <c r="O62" s="424"/>
      <c r="P62" s="436"/>
      <c r="Q62" s="426"/>
      <c r="R62" s="437"/>
      <c r="S62" s="437"/>
      <c r="T62" s="430"/>
      <c r="U62" s="424"/>
      <c r="V62" s="437"/>
      <c r="W62" s="436"/>
      <c r="X62" s="58"/>
      <c r="Y62" s="388"/>
      <c r="Z62" s="388"/>
      <c r="AA62" s="388"/>
      <c r="AB62" s="469"/>
    </row>
    <row r="63" spans="2:28" ht="15" hidden="1" customHeight="1" outlineLevel="1" x14ac:dyDescent="0.25">
      <c r="D63" s="40" t="s">
        <v>27</v>
      </c>
      <c r="E63" s="376">
        <v>31</v>
      </c>
      <c r="F63" s="57"/>
      <c r="G63" s="377"/>
      <c r="H63" s="377"/>
      <c r="I63" s="377"/>
      <c r="J63" s="377"/>
      <c r="K63" s="422"/>
      <c r="L63" s="422"/>
      <c r="M63" s="422"/>
      <c r="N63" s="66"/>
      <c r="O63" s="424"/>
      <c r="P63" s="436"/>
      <c r="Q63" s="426"/>
      <c r="R63" s="437"/>
      <c r="S63" s="437"/>
      <c r="T63" s="430"/>
      <c r="U63" s="424"/>
      <c r="V63" s="437"/>
      <c r="W63" s="436"/>
      <c r="X63" s="58"/>
      <c r="Y63" s="388"/>
      <c r="Z63" s="388"/>
      <c r="AA63" s="388"/>
      <c r="AB63" s="469"/>
    </row>
    <row r="64" spans="2:28" ht="15" hidden="1" customHeight="1" outlineLevel="1" x14ac:dyDescent="0.25">
      <c r="D64" s="40" t="s">
        <v>28</v>
      </c>
      <c r="E64" s="376">
        <v>30</v>
      </c>
      <c r="F64" s="57"/>
      <c r="G64" s="377"/>
      <c r="H64" s="377"/>
      <c r="I64" s="377"/>
      <c r="J64" s="377"/>
      <c r="K64" s="422"/>
      <c r="L64" s="422"/>
      <c r="M64" s="422"/>
      <c r="N64" s="66"/>
      <c r="O64" s="424"/>
      <c r="P64" s="436"/>
      <c r="Q64" s="426"/>
      <c r="R64" s="437"/>
      <c r="S64" s="437"/>
      <c r="T64" s="430"/>
      <c r="U64" s="424"/>
      <c r="V64" s="437"/>
      <c r="W64" s="436"/>
      <c r="X64" s="58"/>
      <c r="Y64" s="388"/>
      <c r="Z64" s="388"/>
      <c r="AA64" s="388"/>
      <c r="AB64" s="469"/>
    </row>
    <row r="65" spans="1:28" ht="15" hidden="1" customHeight="1" outlineLevel="1" x14ac:dyDescent="0.25">
      <c r="D65" s="40" t="s">
        <v>29</v>
      </c>
      <c r="E65" s="376">
        <v>31</v>
      </c>
      <c r="F65" s="57"/>
      <c r="G65" s="377"/>
      <c r="H65" s="377"/>
      <c r="I65" s="377"/>
      <c r="J65" s="377"/>
      <c r="K65" s="422"/>
      <c r="L65" s="422"/>
      <c r="M65" s="422"/>
      <c r="N65" s="66"/>
      <c r="O65" s="424"/>
      <c r="P65" s="436"/>
      <c r="Q65" s="426"/>
      <c r="R65" s="437"/>
      <c r="S65" s="437"/>
      <c r="T65" s="430"/>
      <c r="U65" s="424"/>
      <c r="V65" s="437"/>
      <c r="W65" s="436"/>
      <c r="X65" s="41"/>
      <c r="Y65" s="388"/>
      <c r="Z65" s="388"/>
      <c r="AA65" s="388"/>
      <c r="AB65" s="469"/>
    </row>
    <row r="66" spans="1:28" ht="15" hidden="1" customHeight="1" outlineLevel="1" x14ac:dyDescent="0.25">
      <c r="B66" s="43"/>
      <c r="C66" s="43"/>
      <c r="D66" s="44"/>
      <c r="E66" s="60"/>
      <c r="F66" s="60"/>
      <c r="G66" s="45">
        <f>SUM(G54:G65)</f>
        <v>0</v>
      </c>
      <c r="H66" s="45">
        <f t="shared" ref="H66:M66" si="35">SUM(H54:H65)</f>
        <v>0</v>
      </c>
      <c r="I66" s="45">
        <f t="shared" si="35"/>
        <v>0</v>
      </c>
      <c r="J66" s="45">
        <f t="shared" si="35"/>
        <v>0</v>
      </c>
      <c r="K66" s="45">
        <f t="shared" si="35"/>
        <v>0</v>
      </c>
      <c r="L66" s="45">
        <f t="shared" si="35"/>
        <v>0</v>
      </c>
      <c r="M66" s="45">
        <f t="shared" si="35"/>
        <v>0</v>
      </c>
      <c r="N66" s="45"/>
      <c r="O66" s="390">
        <f>SUM(O54:O65)</f>
        <v>0</v>
      </c>
      <c r="P66" s="391">
        <f>SUM(P54:P65)</f>
        <v>0</v>
      </c>
      <c r="Q66" s="390">
        <f>SUM(Q54:Q65)</f>
        <v>0</v>
      </c>
      <c r="R66" s="438">
        <f>SUM(R54:R65)</f>
        <v>0</v>
      </c>
      <c r="S66" s="438"/>
      <c r="T66" s="391">
        <f>SUM(T54:T65)</f>
        <v>0</v>
      </c>
      <c r="U66" s="390">
        <f>SUM(U54:U65)</f>
        <v>0</v>
      </c>
      <c r="V66" s="438">
        <f>SUM(V54:V65)</f>
        <v>0</v>
      </c>
      <c r="W66" s="391">
        <f>SUM(W54:W65)</f>
        <v>0</v>
      </c>
      <c r="X66" s="45"/>
      <c r="Y66" s="45">
        <f t="shared" ref="Y66" si="36">SUM(Y54:Y65)</f>
        <v>0</v>
      </c>
      <c r="Z66" s="45"/>
      <c r="AA66" s="45"/>
      <c r="AB66" s="45">
        <f t="shared" ref="AB66" si="37">SUM(AB54:AB65)</f>
        <v>0</v>
      </c>
    </row>
    <row r="67" spans="1:28" ht="15.75" hidden="1" customHeight="1" outlineLevel="1" x14ac:dyDescent="0.25">
      <c r="B67" s="396"/>
      <c r="C67" s="397"/>
      <c r="D67" s="398" t="s">
        <v>34</v>
      </c>
      <c r="G67" s="48">
        <v>0.15</v>
      </c>
      <c r="H67" s="49">
        <f>H66*(1+G67)</f>
        <v>0</v>
      </c>
      <c r="I67" s="49"/>
      <c r="J67" s="49">
        <f>J66*(1+G67)</f>
        <v>0</v>
      </c>
      <c r="K67" s="50"/>
      <c r="L67" s="51"/>
      <c r="M67" s="49">
        <f>M66*(1+G67)</f>
        <v>0</v>
      </c>
      <c r="N67" s="42"/>
      <c r="O67" s="400">
        <v>0.21</v>
      </c>
      <c r="P67" s="401">
        <f>P66*(1+O67)</f>
        <v>0</v>
      </c>
      <c r="Q67" s="400">
        <v>0.21</v>
      </c>
      <c r="R67" s="400"/>
      <c r="S67" s="400"/>
      <c r="T67" s="401">
        <f>T66*(1+Q67)</f>
        <v>0</v>
      </c>
      <c r="U67" s="400">
        <v>0.21</v>
      </c>
      <c r="V67" s="400"/>
      <c r="W67" s="401">
        <f>W66*(1+U67)</f>
        <v>0</v>
      </c>
      <c r="X67" s="42"/>
      <c r="Y67" s="48">
        <v>0.15</v>
      </c>
      <c r="Z67" s="48"/>
      <c r="AA67" s="48"/>
      <c r="AB67" s="49">
        <f>AB66*(1+Y67)</f>
        <v>0</v>
      </c>
    </row>
    <row r="68" spans="1:28" collapsed="1" x14ac:dyDescent="0.25"/>
    <row r="69" spans="1:28" x14ac:dyDescent="0.25">
      <c r="B69" s="33" t="s">
        <v>35</v>
      </c>
      <c r="I69" s="32" t="s">
        <v>195</v>
      </c>
      <c r="J69" s="32" t="s">
        <v>237</v>
      </c>
      <c r="O69" s="439" t="s">
        <v>196</v>
      </c>
      <c r="Q69" s="439" t="s">
        <v>196</v>
      </c>
      <c r="R69" s="32"/>
      <c r="T69" s="362" t="s">
        <v>238</v>
      </c>
      <c r="U69" s="439"/>
      <c r="V69" s="32"/>
      <c r="X69" s="67"/>
      <c r="Y69" s="35"/>
      <c r="Z69" s="35"/>
      <c r="AA69" s="35"/>
      <c r="AB69" s="35"/>
    </row>
    <row r="70" spans="1:28" x14ac:dyDescent="0.25">
      <c r="B70" s="68"/>
      <c r="O70" s="439" t="s">
        <v>199</v>
      </c>
      <c r="P70" s="362" t="s">
        <v>239</v>
      </c>
      <c r="Q70" s="439" t="s">
        <v>199</v>
      </c>
      <c r="R70" s="32"/>
      <c r="T70" s="362" t="s">
        <v>240</v>
      </c>
      <c r="U70" s="439" t="s">
        <v>199</v>
      </c>
      <c r="V70" s="32"/>
      <c r="W70" s="362" t="s">
        <v>241</v>
      </c>
      <c r="Y70" s="32" t="s">
        <v>202</v>
      </c>
      <c r="AB70" s="32" t="s">
        <v>242</v>
      </c>
    </row>
    <row r="71" spans="1:28" x14ac:dyDescent="0.25">
      <c r="B71" s="68"/>
      <c r="Y71" s="32" t="s">
        <v>206</v>
      </c>
      <c r="AB71" s="439" t="s">
        <v>243</v>
      </c>
    </row>
    <row r="72" spans="1:28" x14ac:dyDescent="0.25">
      <c r="B72" s="68"/>
    </row>
    <row r="73" spans="1:28" x14ac:dyDescent="0.25">
      <c r="A73" s="68"/>
      <c r="B73" s="68"/>
    </row>
    <row r="74" spans="1:28" x14ac:dyDescent="0.25">
      <c r="B74" s="68"/>
    </row>
    <row r="75" spans="1:28" x14ac:dyDescent="0.25">
      <c r="B75" s="69"/>
      <c r="I75" s="486"/>
      <c r="J75" s="486"/>
      <c r="K75" s="34"/>
      <c r="L75" s="34"/>
      <c r="M75" s="34"/>
      <c r="O75" s="374"/>
    </row>
    <row r="76" spans="1:28" x14ac:dyDescent="0.25">
      <c r="B76" s="69"/>
      <c r="I76" s="405"/>
      <c r="J76" s="405"/>
      <c r="K76" s="34"/>
      <c r="L76" s="34"/>
      <c r="M76" s="34"/>
      <c r="O76" s="374"/>
    </row>
    <row r="77" spans="1:28" x14ac:dyDescent="0.25">
      <c r="B77" s="69"/>
      <c r="I77" s="34"/>
      <c r="J77" s="34"/>
      <c r="K77" s="34"/>
      <c r="L77" s="34"/>
      <c r="M77" s="34"/>
      <c r="O77" s="374"/>
    </row>
    <row r="78" spans="1:28" x14ac:dyDescent="0.25">
      <c r="B78" s="69"/>
      <c r="I78" s="34"/>
      <c r="J78" s="34"/>
      <c r="K78" s="34"/>
      <c r="L78" s="34"/>
      <c r="M78" s="34"/>
      <c r="O78" s="374"/>
    </row>
    <row r="79" spans="1:28" x14ac:dyDescent="0.25">
      <c r="B79" s="69"/>
      <c r="I79" s="487"/>
      <c r="J79" s="487"/>
    </row>
    <row r="80" spans="1:28" x14ac:dyDescent="0.25">
      <c r="I80" s="486"/>
      <c r="J80" s="486"/>
      <c r="K80" s="34"/>
      <c r="L80" s="34"/>
      <c r="M80" s="34"/>
    </row>
    <row r="81" spans="9:13" x14ac:dyDescent="0.25">
      <c r="I81" s="405"/>
      <c r="J81" s="405"/>
      <c r="K81" s="34"/>
      <c r="L81" s="34"/>
      <c r="M81" s="34"/>
    </row>
    <row r="82" spans="9:13" x14ac:dyDescent="0.25">
      <c r="I82" s="34"/>
      <c r="J82" s="34"/>
      <c r="K82" s="34"/>
      <c r="L82" s="34"/>
      <c r="M82" s="34"/>
    </row>
  </sheetData>
  <mergeCells count="86">
    <mergeCell ref="Y3:AB3"/>
    <mergeCell ref="G2:M2"/>
    <mergeCell ref="O2:P2"/>
    <mergeCell ref="Q2:T2"/>
    <mergeCell ref="U2:W2"/>
    <mergeCell ref="Y2:AB2"/>
    <mergeCell ref="B4:C5"/>
    <mergeCell ref="O6:O11"/>
    <mergeCell ref="P6:P11"/>
    <mergeCell ref="Q6:Q15"/>
    <mergeCell ref="R6:R15"/>
    <mergeCell ref="S6:S16"/>
    <mergeCell ref="T6:T16"/>
    <mergeCell ref="U6:U16"/>
    <mergeCell ref="V6:V16"/>
    <mergeCell ref="D2:D4"/>
    <mergeCell ref="O12:O16"/>
    <mergeCell ref="P12:P17"/>
    <mergeCell ref="G3:H3"/>
    <mergeCell ref="I3:J3"/>
    <mergeCell ref="K3:M3"/>
    <mergeCell ref="O3:P3"/>
    <mergeCell ref="Q3:T3"/>
    <mergeCell ref="U3:W3"/>
    <mergeCell ref="AB6:AB8"/>
    <mergeCell ref="Y9:Y11"/>
    <mergeCell ref="Z9:Z11"/>
    <mergeCell ref="AA9:AA11"/>
    <mergeCell ref="AB9:AB11"/>
    <mergeCell ref="AB12:AB14"/>
    <mergeCell ref="Y15:Y17"/>
    <mergeCell ref="Z15:Z17"/>
    <mergeCell ref="AA15:AA17"/>
    <mergeCell ref="AB15:AB17"/>
    <mergeCell ref="Y12:Y14"/>
    <mergeCell ref="Z12:Z14"/>
    <mergeCell ref="AA12:AA14"/>
    <mergeCell ref="W6:W16"/>
    <mergeCell ref="Y6:Y8"/>
    <mergeCell ref="Z6:Z8"/>
    <mergeCell ref="AA6:AA8"/>
    <mergeCell ref="Z22:Z24"/>
    <mergeCell ref="AA22:AA24"/>
    <mergeCell ref="AB22:AB24"/>
    <mergeCell ref="Y25:Y27"/>
    <mergeCell ref="Z25:Z27"/>
    <mergeCell ref="AA25:AA27"/>
    <mergeCell ref="AB25:AB27"/>
    <mergeCell ref="Y22:Y24"/>
    <mergeCell ref="AA28:AA30"/>
    <mergeCell ref="AB28:AB30"/>
    <mergeCell ref="Y31:Y33"/>
    <mergeCell ref="Z31:Z33"/>
    <mergeCell ref="AA31:AA33"/>
    <mergeCell ref="AB31:AB33"/>
    <mergeCell ref="W38:W48"/>
    <mergeCell ref="P44:P49"/>
    <mergeCell ref="P28:P33"/>
    <mergeCell ref="Y28:Y30"/>
    <mergeCell ref="Z28:Z30"/>
    <mergeCell ref="S22:S32"/>
    <mergeCell ref="T22:T32"/>
    <mergeCell ref="U22:U32"/>
    <mergeCell ref="V22:V32"/>
    <mergeCell ref="W22:W32"/>
    <mergeCell ref="P38:P43"/>
    <mergeCell ref="S38:S48"/>
    <mergeCell ref="T38:T48"/>
    <mergeCell ref="U38:U48"/>
    <mergeCell ref="V38:V48"/>
    <mergeCell ref="Y38:Y40"/>
    <mergeCell ref="Z38:Z40"/>
    <mergeCell ref="AA38:AA40"/>
    <mergeCell ref="AB38:AB40"/>
    <mergeCell ref="Y41:Y43"/>
    <mergeCell ref="Z41:Z43"/>
    <mergeCell ref="AA41:AA43"/>
    <mergeCell ref="AB41:AB43"/>
    <mergeCell ref="Y44:Y46"/>
    <mergeCell ref="Z44:Z46"/>
    <mergeCell ref="AA44:AA46"/>
    <mergeCell ref="AB44:AB46"/>
    <mergeCell ref="Y47:Y49"/>
    <mergeCell ref="Z47:Z49"/>
    <mergeCell ref="AA47:AA49"/>
    <mergeCell ref="AB47:AB49"/>
  </mergeCells>
  <conditionalFormatting sqref="G6:G17 G22:G33 G38:G49 I6:I17 I22:I33 I38:I49 K38:K49 K22:K33 K6:K17">
    <cfRule type="cellIs" dxfId="39" priority="14" operator="greaterThan">
      <formula>0</formula>
    </cfRule>
  </conditionalFormatting>
  <conditionalFormatting sqref="O6:O17 O22:O33 O38:O49">
    <cfRule type="cellIs" dxfId="38" priority="13" operator="greaterThan">
      <formula>0</formula>
    </cfRule>
  </conditionalFormatting>
  <conditionalFormatting sqref="G54:G65 I54:I65 K54:K65">
    <cfRule type="cellIs" dxfId="37" priority="12" operator="greaterThan">
      <formula>0</formula>
    </cfRule>
  </conditionalFormatting>
  <conditionalFormatting sqref="O54:O65">
    <cfRule type="cellIs" dxfId="36" priority="11" operator="greaterThan">
      <formula>0</formula>
    </cfRule>
  </conditionalFormatting>
  <conditionalFormatting sqref="Q54:Q65">
    <cfRule type="cellIs" dxfId="35" priority="9" operator="greaterThan">
      <formula>0</formula>
    </cfRule>
  </conditionalFormatting>
  <conditionalFormatting sqref="R54:S65">
    <cfRule type="cellIs" dxfId="34" priority="8" operator="greaterThan">
      <formula>0</formula>
    </cfRule>
  </conditionalFormatting>
  <conditionalFormatting sqref="Q6:R17 Q22:R33 Q38:R49">
    <cfRule type="cellIs" dxfId="33" priority="7" operator="greaterThan">
      <formula>0</formula>
    </cfRule>
  </conditionalFormatting>
  <conditionalFormatting sqref="Y6:Y9 Y22 Y54:Y65 Y12 Y15 Y25 Y28 Y31 Y44 Y41 Y38">
    <cfRule type="cellIs" dxfId="32" priority="6" operator="greaterThan">
      <formula>0</formula>
    </cfRule>
  </conditionalFormatting>
  <conditionalFormatting sqref="Y47">
    <cfRule type="cellIs" dxfId="31" priority="5" operator="greaterThan">
      <formula>0</formula>
    </cfRule>
  </conditionalFormatting>
  <conditionalFormatting sqref="U54:U65">
    <cfRule type="cellIs" dxfId="30" priority="3" operator="greaterThan">
      <formula>0</formula>
    </cfRule>
  </conditionalFormatting>
  <conditionalFormatting sqref="V6 V22 V38 V33 V49 V17">
    <cfRule type="cellIs" dxfId="29" priority="1" operator="greaterThan">
      <formula>0</formula>
    </cfRule>
  </conditionalFormatting>
  <conditionalFormatting sqref="U6 U22 U38 U33 U49 U17">
    <cfRule type="cellIs" dxfId="28" priority="4" operator="greaterThan">
      <formula>0</formula>
    </cfRule>
  </conditionalFormatting>
  <conditionalFormatting sqref="V54:V65">
    <cfRule type="cellIs" dxfId="27" priority="2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I79"/>
  <sheetViews>
    <sheetView zoomScale="85" zoomScaleNormal="85" workbookViewId="0">
      <pane xSplit="5" ySplit="5" topLeftCell="F6" activePane="bottomRight" state="frozen"/>
      <selection activeCell="AA23" sqref="AA23:AA33"/>
      <selection pane="topRight" activeCell="AA23" sqref="AA23:AA33"/>
      <selection pane="bottomLeft" activeCell="AA23" sqref="AA23:AA33"/>
      <selection pane="bottomRight" activeCell="T74" sqref="T74"/>
    </sheetView>
  </sheetViews>
  <sheetFormatPr defaultColWidth="10.140625" defaultRowHeight="15" outlineLevelRow="1" outlineLevelCol="2" x14ac:dyDescent="0.25"/>
  <cols>
    <col min="1" max="1" width="1" style="32" customWidth="1"/>
    <col min="2" max="2" width="12" style="32" customWidth="1"/>
    <col min="3" max="3" width="10.140625" style="32" customWidth="1"/>
    <col min="4" max="4" width="14" style="32" customWidth="1"/>
    <col min="5" max="5" width="5" style="360" customWidth="1"/>
    <col min="6" max="6" width="3.140625" style="34" hidden="1" customWidth="1" outlineLevel="1"/>
    <col min="7" max="8" width="11.5703125" style="32" hidden="1" customWidth="1" outlineLevel="2"/>
    <col min="9" max="9" width="11.5703125" style="32" hidden="1" customWidth="1" outlineLevel="1" collapsed="1"/>
    <col min="10" max="10" width="11.5703125" style="32" hidden="1" customWidth="1" outlineLevel="1"/>
    <col min="11" max="11" width="10" style="32" hidden="1" customWidth="1" outlineLevel="1"/>
    <col min="12" max="12" width="10" style="32" hidden="1" customWidth="1" outlineLevel="2"/>
    <col min="13" max="13" width="10" style="32" hidden="1" customWidth="1" outlineLevel="1" collapsed="1"/>
    <col min="14" max="14" width="3.7109375" style="34" customWidth="1" collapsed="1"/>
    <col min="15" max="15" width="12.7109375" style="361" customWidth="1"/>
    <col min="16" max="16" width="12" style="362" customWidth="1"/>
    <col min="17" max="18" width="12.7109375" style="361" customWidth="1"/>
    <col min="19" max="19" width="12.7109375" style="361" hidden="1" customWidth="1" outlineLevel="2"/>
    <col min="20" max="20" width="11.85546875" style="362" customWidth="1" collapsed="1"/>
    <col min="21" max="21" width="3.7109375" style="34" customWidth="1"/>
    <col min="22" max="22" width="14" style="32" customWidth="1"/>
    <col min="23" max="24" width="7.7109375" style="32" customWidth="1" outlineLevel="1"/>
    <col min="25" max="25" width="14" style="32" customWidth="1"/>
    <col min="26" max="26" width="3.7109375" style="34" customWidth="1"/>
    <col min="27" max="28" width="10.140625" style="32" customWidth="1"/>
    <col min="29" max="29" width="11.7109375" style="362" customWidth="1"/>
    <col min="30" max="30" width="10.140625" style="32" hidden="1" customWidth="1" outlineLevel="1"/>
    <col min="31" max="31" width="10.140625" style="32" hidden="1" customWidth="1" outlineLevel="2"/>
    <col min="32" max="32" width="10.140625" style="32" hidden="1" customWidth="1" outlineLevel="1" collapsed="1"/>
    <col min="33" max="33" width="10.140625" style="362" hidden="1" customWidth="1" outlineLevel="1"/>
    <col min="34" max="34" width="10.140625" style="32" customWidth="1" collapsed="1"/>
    <col min="35" max="270" width="10.140625" style="32"/>
    <col min="271" max="283" width="14" style="32" customWidth="1"/>
    <col min="284" max="526" width="10.140625" style="32"/>
    <col min="527" max="539" width="14" style="32" customWidth="1"/>
    <col min="540" max="782" width="10.140625" style="32"/>
    <col min="783" max="795" width="14" style="32" customWidth="1"/>
    <col min="796" max="1038" width="10.140625" style="32"/>
    <col min="1039" max="1051" width="14" style="32" customWidth="1"/>
    <col min="1052" max="1294" width="10.140625" style="32"/>
    <col min="1295" max="1307" width="14" style="32" customWidth="1"/>
    <col min="1308" max="1550" width="10.140625" style="32"/>
    <col min="1551" max="1563" width="14" style="32" customWidth="1"/>
    <col min="1564" max="1806" width="10.140625" style="32"/>
    <col min="1807" max="1819" width="14" style="32" customWidth="1"/>
    <col min="1820" max="2062" width="10.140625" style="32"/>
    <col min="2063" max="2075" width="14" style="32" customWidth="1"/>
    <col min="2076" max="2318" width="10.140625" style="32"/>
    <col min="2319" max="2331" width="14" style="32" customWidth="1"/>
    <col min="2332" max="2574" width="10.140625" style="32"/>
    <col min="2575" max="2587" width="14" style="32" customWidth="1"/>
    <col min="2588" max="2830" width="10.140625" style="32"/>
    <col min="2831" max="2843" width="14" style="32" customWidth="1"/>
    <col min="2844" max="3086" width="10.140625" style="32"/>
    <col min="3087" max="3099" width="14" style="32" customWidth="1"/>
    <col min="3100" max="3342" width="10.140625" style="32"/>
    <col min="3343" max="3355" width="14" style="32" customWidth="1"/>
    <col min="3356" max="3598" width="10.140625" style="32"/>
    <col min="3599" max="3611" width="14" style="32" customWidth="1"/>
    <col min="3612" max="3854" width="10.140625" style="32"/>
    <col min="3855" max="3867" width="14" style="32" customWidth="1"/>
    <col min="3868" max="4110" width="10.140625" style="32"/>
    <col min="4111" max="4123" width="14" style="32" customWidth="1"/>
    <col min="4124" max="4366" width="10.140625" style="32"/>
    <col min="4367" max="4379" width="14" style="32" customWidth="1"/>
    <col min="4380" max="4622" width="10.140625" style="32"/>
    <col min="4623" max="4635" width="14" style="32" customWidth="1"/>
    <col min="4636" max="4878" width="10.140625" style="32"/>
    <col min="4879" max="4891" width="14" style="32" customWidth="1"/>
    <col min="4892" max="5134" width="10.140625" style="32"/>
    <col min="5135" max="5147" width="14" style="32" customWidth="1"/>
    <col min="5148" max="5390" width="10.140625" style="32"/>
    <col min="5391" max="5403" width="14" style="32" customWidth="1"/>
    <col min="5404" max="5646" width="10.140625" style="32"/>
    <col min="5647" max="5659" width="14" style="32" customWidth="1"/>
    <col min="5660" max="5902" width="10.140625" style="32"/>
    <col min="5903" max="5915" width="14" style="32" customWidth="1"/>
    <col min="5916" max="6158" width="10.140625" style="32"/>
    <col min="6159" max="6171" width="14" style="32" customWidth="1"/>
    <col min="6172" max="6414" width="10.140625" style="32"/>
    <col min="6415" max="6427" width="14" style="32" customWidth="1"/>
    <col min="6428" max="6670" width="10.140625" style="32"/>
    <col min="6671" max="6683" width="14" style="32" customWidth="1"/>
    <col min="6684" max="6926" width="10.140625" style="32"/>
    <col min="6927" max="6939" width="14" style="32" customWidth="1"/>
    <col min="6940" max="7182" width="10.140625" style="32"/>
    <col min="7183" max="7195" width="14" style="32" customWidth="1"/>
    <col min="7196" max="7438" width="10.140625" style="32"/>
    <col min="7439" max="7451" width="14" style="32" customWidth="1"/>
    <col min="7452" max="7694" width="10.140625" style="32"/>
    <col min="7695" max="7707" width="14" style="32" customWidth="1"/>
    <col min="7708" max="7950" width="10.140625" style="32"/>
    <col min="7951" max="7963" width="14" style="32" customWidth="1"/>
    <col min="7964" max="8206" width="10.140625" style="32"/>
    <col min="8207" max="8219" width="14" style="32" customWidth="1"/>
    <col min="8220" max="8462" width="10.140625" style="32"/>
    <col min="8463" max="8475" width="14" style="32" customWidth="1"/>
    <col min="8476" max="8718" width="10.140625" style="32"/>
    <col min="8719" max="8731" width="14" style="32" customWidth="1"/>
    <col min="8732" max="8974" width="10.140625" style="32"/>
    <col min="8975" max="8987" width="14" style="32" customWidth="1"/>
    <col min="8988" max="9230" width="10.140625" style="32"/>
    <col min="9231" max="9243" width="14" style="32" customWidth="1"/>
    <col min="9244" max="9486" width="10.140625" style="32"/>
    <col min="9487" max="9499" width="14" style="32" customWidth="1"/>
    <col min="9500" max="9742" width="10.140625" style="32"/>
    <col min="9743" max="9755" width="14" style="32" customWidth="1"/>
    <col min="9756" max="9998" width="10.140625" style="32"/>
    <col min="9999" max="10011" width="14" style="32" customWidth="1"/>
    <col min="10012" max="10254" width="10.140625" style="32"/>
    <col min="10255" max="10267" width="14" style="32" customWidth="1"/>
    <col min="10268" max="10510" width="10.140625" style="32"/>
    <col min="10511" max="10523" width="14" style="32" customWidth="1"/>
    <col min="10524" max="10766" width="10.140625" style="32"/>
    <col min="10767" max="10779" width="14" style="32" customWidth="1"/>
    <col min="10780" max="11022" width="10.140625" style="32"/>
    <col min="11023" max="11035" width="14" style="32" customWidth="1"/>
    <col min="11036" max="11278" width="10.140625" style="32"/>
    <col min="11279" max="11291" width="14" style="32" customWidth="1"/>
    <col min="11292" max="11534" width="10.140625" style="32"/>
    <col min="11535" max="11547" width="14" style="32" customWidth="1"/>
    <col min="11548" max="11790" width="10.140625" style="32"/>
    <col min="11791" max="11803" width="14" style="32" customWidth="1"/>
    <col min="11804" max="12046" width="10.140625" style="32"/>
    <col min="12047" max="12059" width="14" style="32" customWidth="1"/>
    <col min="12060" max="12302" width="10.140625" style="32"/>
    <col min="12303" max="12315" width="14" style="32" customWidth="1"/>
    <col min="12316" max="12558" width="10.140625" style="32"/>
    <col min="12559" max="12571" width="14" style="32" customWidth="1"/>
    <col min="12572" max="12814" width="10.140625" style="32"/>
    <col min="12815" max="12827" width="14" style="32" customWidth="1"/>
    <col min="12828" max="13070" width="10.140625" style="32"/>
    <col min="13071" max="13083" width="14" style="32" customWidth="1"/>
    <col min="13084" max="13326" width="10.140625" style="32"/>
    <col min="13327" max="13339" width="14" style="32" customWidth="1"/>
    <col min="13340" max="13582" width="10.140625" style="32"/>
    <col min="13583" max="13595" width="14" style="32" customWidth="1"/>
    <col min="13596" max="13838" width="10.140625" style="32"/>
    <col min="13839" max="13851" width="14" style="32" customWidth="1"/>
    <col min="13852" max="14094" width="10.140625" style="32"/>
    <col min="14095" max="14107" width="14" style="32" customWidth="1"/>
    <col min="14108" max="14350" width="10.140625" style="32"/>
    <col min="14351" max="14363" width="14" style="32" customWidth="1"/>
    <col min="14364" max="14606" width="10.140625" style="32"/>
    <col min="14607" max="14619" width="14" style="32" customWidth="1"/>
    <col min="14620" max="14862" width="10.140625" style="32"/>
    <col min="14863" max="14875" width="14" style="32" customWidth="1"/>
    <col min="14876" max="15118" width="10.140625" style="32"/>
    <col min="15119" max="15131" width="14" style="32" customWidth="1"/>
    <col min="15132" max="15374" width="10.140625" style="32"/>
    <col min="15375" max="15387" width="14" style="32" customWidth="1"/>
    <col min="15388" max="15630" width="10.140625" style="32"/>
    <col min="15631" max="15643" width="14" style="32" customWidth="1"/>
    <col min="15644" max="15886" width="10.140625" style="32"/>
    <col min="15887" max="15899" width="14" style="32" customWidth="1"/>
    <col min="15900" max="16142" width="10.140625" style="32"/>
    <col min="16143" max="16155" width="14" style="32" customWidth="1"/>
    <col min="16156" max="16384" width="10.140625" style="32"/>
  </cols>
  <sheetData>
    <row r="1" spans="2:33" ht="4.5" customHeight="1" x14ac:dyDescent="0.25">
      <c r="T1" s="363"/>
    </row>
    <row r="2" spans="2:33" ht="15" customHeight="1" x14ac:dyDescent="0.25">
      <c r="B2" s="364" t="s">
        <v>33</v>
      </c>
      <c r="C2" s="365"/>
      <c r="D2" s="543" t="s">
        <v>31</v>
      </c>
      <c r="E2" s="53"/>
      <c r="F2" s="32"/>
      <c r="G2" s="545" t="s">
        <v>9</v>
      </c>
      <c r="H2" s="545"/>
      <c r="I2" s="545"/>
      <c r="J2" s="545"/>
      <c r="K2" s="545"/>
      <c r="L2" s="545"/>
      <c r="M2" s="545"/>
      <c r="N2" s="55"/>
      <c r="O2" s="546" t="s">
        <v>5</v>
      </c>
      <c r="P2" s="546"/>
      <c r="Q2" s="547" t="s">
        <v>5</v>
      </c>
      <c r="R2" s="548"/>
      <c r="S2" s="548"/>
      <c r="T2" s="548"/>
      <c r="U2" s="36"/>
      <c r="V2" s="549" t="s">
        <v>11</v>
      </c>
      <c r="W2" s="549"/>
      <c r="X2" s="549"/>
      <c r="Y2" s="549"/>
      <c r="Z2" s="32"/>
      <c r="AA2" s="550" t="s">
        <v>10</v>
      </c>
      <c r="AB2" s="550"/>
      <c r="AC2" s="550"/>
      <c r="AD2" s="535" t="s">
        <v>10</v>
      </c>
      <c r="AE2" s="536"/>
      <c r="AF2" s="536"/>
      <c r="AG2" s="536"/>
    </row>
    <row r="3" spans="2:33" ht="15" customHeight="1" x14ac:dyDescent="0.25">
      <c r="B3" s="37" t="str">
        <f ca="1">MID(CELL("filename",A8),FIND("]",CELL("filename",A8))+1,LEN(CELL("filename",A8))-FIND("]",CELL("filename",A8)))</f>
        <v>05 MŠ Letná</v>
      </c>
      <c r="C3" s="33"/>
      <c r="D3" s="543"/>
      <c r="E3" s="53"/>
      <c r="F3" s="32"/>
      <c r="G3" s="537" t="s">
        <v>144</v>
      </c>
      <c r="H3" s="537"/>
      <c r="I3" s="537" t="s">
        <v>6</v>
      </c>
      <c r="J3" s="537"/>
      <c r="K3" s="537" t="s">
        <v>143</v>
      </c>
      <c r="L3" s="537"/>
      <c r="M3" s="537"/>
      <c r="N3" s="38"/>
      <c r="O3" s="598" t="s">
        <v>244</v>
      </c>
      <c r="P3" s="598"/>
      <c r="Q3" s="539" t="s">
        <v>245</v>
      </c>
      <c r="R3" s="538"/>
      <c r="S3" s="538"/>
      <c r="T3" s="538"/>
      <c r="U3" s="38"/>
      <c r="V3" s="540" t="s">
        <v>210</v>
      </c>
      <c r="W3" s="540"/>
      <c r="X3" s="540"/>
      <c r="Y3" s="540"/>
      <c r="Z3" s="32"/>
      <c r="AA3" s="541" t="s">
        <v>184</v>
      </c>
      <c r="AB3" s="541"/>
      <c r="AC3" s="541"/>
      <c r="AD3" s="542" t="s">
        <v>185</v>
      </c>
      <c r="AE3" s="541"/>
      <c r="AF3" s="541"/>
      <c r="AG3" s="541"/>
    </row>
    <row r="4" spans="2:33" ht="15" customHeight="1" x14ac:dyDescent="0.25">
      <c r="B4" s="534" t="s">
        <v>246</v>
      </c>
      <c r="C4" s="534"/>
      <c r="D4" s="544"/>
      <c r="E4" s="53"/>
      <c r="F4" s="32"/>
      <c r="G4" s="29" t="s">
        <v>0</v>
      </c>
      <c r="H4" s="29" t="s">
        <v>7</v>
      </c>
      <c r="I4" s="29" t="s">
        <v>187</v>
      </c>
      <c r="J4" s="29" t="s">
        <v>7</v>
      </c>
      <c r="K4" s="29" t="s">
        <v>0</v>
      </c>
      <c r="L4" s="29" t="s">
        <v>13</v>
      </c>
      <c r="M4" s="29" t="s">
        <v>7</v>
      </c>
      <c r="N4" s="56"/>
      <c r="O4" s="31" t="s">
        <v>188</v>
      </c>
      <c r="P4" s="366" t="s">
        <v>7</v>
      </c>
      <c r="Q4" s="367" t="s">
        <v>188</v>
      </c>
      <c r="R4" s="31" t="s">
        <v>223</v>
      </c>
      <c r="S4" s="31" t="s">
        <v>189</v>
      </c>
      <c r="T4" s="366" t="s">
        <v>7</v>
      </c>
      <c r="U4" s="39"/>
      <c r="V4" s="301" t="s">
        <v>13</v>
      </c>
      <c r="W4" s="359" t="s">
        <v>190</v>
      </c>
      <c r="X4" s="359" t="s">
        <v>191</v>
      </c>
      <c r="Y4" s="30" t="s">
        <v>212</v>
      </c>
      <c r="Z4" s="32"/>
      <c r="AA4" s="368" t="s">
        <v>2</v>
      </c>
      <c r="AB4" s="368" t="s">
        <v>13</v>
      </c>
      <c r="AC4" s="369" t="s">
        <v>7</v>
      </c>
      <c r="AD4" s="370" t="s">
        <v>2</v>
      </c>
      <c r="AE4" s="371" t="s">
        <v>193</v>
      </c>
      <c r="AF4" s="368" t="s">
        <v>13</v>
      </c>
      <c r="AG4" s="369" t="s">
        <v>7</v>
      </c>
    </row>
    <row r="5" spans="2:33" ht="8.25" customHeight="1" x14ac:dyDescent="0.2">
      <c r="B5" s="534"/>
      <c r="C5" s="534"/>
      <c r="D5" s="52"/>
      <c r="E5" s="372"/>
      <c r="F5" s="64"/>
      <c r="G5" s="33"/>
      <c r="H5" s="33"/>
      <c r="Q5" s="373"/>
      <c r="R5" s="374"/>
      <c r="S5" s="374"/>
      <c r="T5" s="363"/>
      <c r="AD5" s="375"/>
      <c r="AE5" s="34"/>
      <c r="AF5" s="34"/>
      <c r="AG5" s="363"/>
    </row>
    <row r="6" spans="2:33" ht="15.75" x14ac:dyDescent="0.25">
      <c r="B6" s="47">
        <v>2015</v>
      </c>
      <c r="C6" s="33"/>
      <c r="D6" s="40" t="s">
        <v>18</v>
      </c>
      <c r="E6" s="376">
        <v>31</v>
      </c>
      <c r="F6" s="57"/>
      <c r="G6" s="377"/>
      <c r="H6" s="377"/>
      <c r="I6" s="478"/>
      <c r="J6" s="379"/>
      <c r="K6" s="381"/>
      <c r="L6" s="381"/>
      <c r="M6" s="381"/>
      <c r="N6" s="41"/>
      <c r="O6" s="504">
        <v>369</v>
      </c>
      <c r="P6" s="512">
        <v>1942.11</v>
      </c>
      <c r="Q6" s="510">
        <v>7781</v>
      </c>
      <c r="R6" s="504">
        <v>7069</v>
      </c>
      <c r="S6" s="504">
        <f>R6+Q6</f>
        <v>14850</v>
      </c>
      <c r="T6" s="515">
        <v>40580.94</v>
      </c>
      <c r="U6" s="58"/>
      <c r="V6" s="504">
        <f>128.8+32.2</f>
        <v>161</v>
      </c>
      <c r="W6" s="504">
        <f>V6*28.6</f>
        <v>4604.6000000000004</v>
      </c>
      <c r="X6" s="504">
        <f>V6*34.7</f>
        <v>5586.7000000000007</v>
      </c>
      <c r="Y6" s="506">
        <f>X6+W6</f>
        <v>10191.300000000001</v>
      </c>
      <c r="Z6" s="59"/>
      <c r="AA6" s="531">
        <v>89659.44</v>
      </c>
      <c r="AB6" s="531">
        <v>8448</v>
      </c>
      <c r="AC6" s="515">
        <f>14488.56+88842.6425+396.77</f>
        <v>103727.9725</v>
      </c>
      <c r="AD6" s="384"/>
      <c r="AE6" s="385"/>
      <c r="AF6" s="386"/>
      <c r="AG6" s="383"/>
    </row>
    <row r="7" spans="2:33" x14ac:dyDescent="0.25">
      <c r="B7" s="33"/>
      <c r="C7" s="33"/>
      <c r="D7" s="40" t="s">
        <v>19</v>
      </c>
      <c r="E7" s="376">
        <v>28</v>
      </c>
      <c r="F7" s="57"/>
      <c r="G7" s="377"/>
      <c r="H7" s="377"/>
      <c r="I7" s="478"/>
      <c r="J7" s="379"/>
      <c r="K7" s="381"/>
      <c r="L7" s="381"/>
      <c r="M7" s="381"/>
      <c r="N7" s="41"/>
      <c r="O7" s="508"/>
      <c r="P7" s="513"/>
      <c r="Q7" s="523"/>
      <c r="R7" s="508"/>
      <c r="S7" s="508"/>
      <c r="T7" s="516"/>
      <c r="U7" s="58"/>
      <c r="V7" s="505"/>
      <c r="W7" s="505"/>
      <c r="X7" s="505"/>
      <c r="Y7" s="507"/>
      <c r="Z7" s="58"/>
      <c r="AA7" s="532"/>
      <c r="AB7" s="532"/>
      <c r="AC7" s="516"/>
      <c r="AD7" s="384"/>
      <c r="AE7" s="385"/>
      <c r="AF7" s="386"/>
      <c r="AG7" s="383"/>
    </row>
    <row r="8" spans="2:33" x14ac:dyDescent="0.25">
      <c r="B8" s="33"/>
      <c r="C8" s="33"/>
      <c r="D8" s="40" t="s">
        <v>20</v>
      </c>
      <c r="E8" s="376">
        <v>31</v>
      </c>
      <c r="F8" s="57"/>
      <c r="G8" s="377"/>
      <c r="H8" s="377"/>
      <c r="I8" s="479"/>
      <c r="J8" s="381"/>
      <c r="K8" s="381"/>
      <c r="L8" s="381"/>
      <c r="M8" s="381"/>
      <c r="N8" s="41"/>
      <c r="O8" s="508"/>
      <c r="P8" s="513"/>
      <c r="Q8" s="523"/>
      <c r="R8" s="508"/>
      <c r="S8" s="508"/>
      <c r="T8" s="516"/>
      <c r="U8" s="58"/>
      <c r="V8" s="504">
        <f>227.2+56.8</f>
        <v>284</v>
      </c>
      <c r="W8" s="504">
        <f>V8*28.6</f>
        <v>8122.4000000000005</v>
      </c>
      <c r="X8" s="504">
        <f>V8*34.7</f>
        <v>9854.8000000000011</v>
      </c>
      <c r="Y8" s="506">
        <f>X8+W8</f>
        <v>17977.2</v>
      </c>
      <c r="Z8" s="58"/>
      <c r="AA8" s="533"/>
      <c r="AB8" s="533"/>
      <c r="AC8" s="517"/>
      <c r="AD8" s="384"/>
      <c r="AE8" s="385"/>
      <c r="AF8" s="386"/>
      <c r="AG8" s="383"/>
    </row>
    <row r="9" spans="2:33" x14ac:dyDescent="0.25">
      <c r="B9" s="33"/>
      <c r="C9" s="33"/>
      <c r="D9" s="40" t="s">
        <v>21</v>
      </c>
      <c r="E9" s="376">
        <v>30</v>
      </c>
      <c r="F9" s="57"/>
      <c r="G9" s="377"/>
      <c r="H9" s="377"/>
      <c r="I9" s="479"/>
      <c r="J9" s="381"/>
      <c r="K9" s="381"/>
      <c r="L9" s="381"/>
      <c r="M9" s="381"/>
      <c r="N9" s="41"/>
      <c r="O9" s="505"/>
      <c r="P9" s="514"/>
      <c r="Q9" s="511"/>
      <c r="R9" s="505"/>
      <c r="S9" s="505"/>
      <c r="T9" s="517"/>
      <c r="U9" s="58"/>
      <c r="V9" s="508"/>
      <c r="W9" s="508"/>
      <c r="X9" s="508"/>
      <c r="Y9" s="509"/>
      <c r="Z9" s="58"/>
      <c r="AA9" s="504">
        <v>163883.66</v>
      </c>
      <c r="AB9" s="504">
        <v>15404.34</v>
      </c>
      <c r="AC9" s="515">
        <v>201509.66</v>
      </c>
      <c r="AD9" s="387"/>
      <c r="AE9" s="388"/>
      <c r="AF9" s="388"/>
      <c r="AG9" s="383"/>
    </row>
    <row r="10" spans="2:33" x14ac:dyDescent="0.25">
      <c r="B10" s="33"/>
      <c r="C10" s="33"/>
      <c r="D10" s="40" t="s">
        <v>22</v>
      </c>
      <c r="E10" s="376">
        <v>31</v>
      </c>
      <c r="F10" s="57"/>
      <c r="G10" s="377"/>
      <c r="H10" s="377"/>
      <c r="I10" s="479"/>
      <c r="J10" s="381"/>
      <c r="K10" s="381"/>
      <c r="L10" s="381"/>
      <c r="M10" s="381"/>
      <c r="N10" s="41"/>
      <c r="O10" s="504">
        <v>601</v>
      </c>
      <c r="P10" s="512">
        <v>3437.6</v>
      </c>
      <c r="Q10" s="510">
        <v>12888</v>
      </c>
      <c r="R10" s="504">
        <v>13128</v>
      </c>
      <c r="S10" s="504">
        <f>R10+Q10</f>
        <v>26016</v>
      </c>
      <c r="T10" s="515">
        <v>70337.16</v>
      </c>
      <c r="U10" s="58"/>
      <c r="V10" s="505"/>
      <c r="W10" s="505"/>
      <c r="X10" s="505"/>
      <c r="Y10" s="507"/>
      <c r="Z10" s="58"/>
      <c r="AA10" s="508"/>
      <c r="AB10" s="508"/>
      <c r="AC10" s="516"/>
      <c r="AD10" s="387"/>
      <c r="AE10" s="388"/>
      <c r="AF10" s="388"/>
      <c r="AG10" s="383"/>
    </row>
    <row r="11" spans="2:33" x14ac:dyDescent="0.25">
      <c r="B11" s="33"/>
      <c r="C11" s="33"/>
      <c r="D11" s="40" t="s">
        <v>23</v>
      </c>
      <c r="E11" s="376">
        <v>30</v>
      </c>
      <c r="F11" s="57"/>
      <c r="G11" s="377"/>
      <c r="H11" s="377"/>
      <c r="I11" s="479"/>
      <c r="J11" s="381"/>
      <c r="K11" s="381"/>
      <c r="L11" s="381"/>
      <c r="M11" s="381"/>
      <c r="N11" s="41"/>
      <c r="O11" s="508"/>
      <c r="P11" s="513"/>
      <c r="Q11" s="523"/>
      <c r="R11" s="508"/>
      <c r="S11" s="508"/>
      <c r="T11" s="516"/>
      <c r="U11" s="58"/>
      <c r="V11" s="504">
        <f>236+59</f>
        <v>295</v>
      </c>
      <c r="W11" s="504">
        <f>V11*28.6</f>
        <v>8437</v>
      </c>
      <c r="X11" s="504">
        <f>V11*34.7</f>
        <v>10236.5</v>
      </c>
      <c r="Y11" s="506">
        <f>X11+W11</f>
        <v>18673.5</v>
      </c>
      <c r="Z11" s="58"/>
      <c r="AA11" s="508"/>
      <c r="AB11" s="508"/>
      <c r="AC11" s="516"/>
      <c r="AD11" s="387"/>
      <c r="AE11" s="388"/>
      <c r="AF11" s="388"/>
      <c r="AG11" s="383"/>
    </row>
    <row r="12" spans="2:33" x14ac:dyDescent="0.25">
      <c r="B12" s="33"/>
      <c r="C12" s="33"/>
      <c r="D12" s="40" t="s">
        <v>24</v>
      </c>
      <c r="E12" s="376">
        <v>31</v>
      </c>
      <c r="F12" s="57"/>
      <c r="G12" s="377"/>
      <c r="H12" s="377"/>
      <c r="I12" s="479"/>
      <c r="J12" s="381"/>
      <c r="K12" s="381"/>
      <c r="L12" s="381"/>
      <c r="M12" s="381"/>
      <c r="N12" s="41"/>
      <c r="O12" s="508"/>
      <c r="P12" s="513"/>
      <c r="Q12" s="523"/>
      <c r="R12" s="508"/>
      <c r="S12" s="508"/>
      <c r="T12" s="516"/>
      <c r="U12" s="58"/>
      <c r="V12" s="508"/>
      <c r="W12" s="508"/>
      <c r="X12" s="508"/>
      <c r="Y12" s="509"/>
      <c r="Z12" s="58"/>
      <c r="AA12" s="508"/>
      <c r="AB12" s="508"/>
      <c r="AC12" s="516"/>
      <c r="AD12" s="387"/>
      <c r="AE12" s="388"/>
      <c r="AF12" s="388"/>
      <c r="AG12" s="383"/>
    </row>
    <row r="13" spans="2:33" x14ac:dyDescent="0.25">
      <c r="B13" s="33"/>
      <c r="C13" s="33"/>
      <c r="D13" s="40" t="s">
        <v>25</v>
      </c>
      <c r="E13" s="376">
        <v>31</v>
      </c>
      <c r="F13" s="57"/>
      <c r="G13" s="377"/>
      <c r="H13" s="377"/>
      <c r="I13" s="479"/>
      <c r="J13" s="381"/>
      <c r="K13" s="381"/>
      <c r="L13" s="381"/>
      <c r="M13" s="381"/>
      <c r="N13" s="41"/>
      <c r="O13" s="508"/>
      <c r="P13" s="513"/>
      <c r="Q13" s="523"/>
      <c r="R13" s="508"/>
      <c r="S13" s="508"/>
      <c r="T13" s="516"/>
      <c r="U13" s="58"/>
      <c r="V13" s="508"/>
      <c r="W13" s="508"/>
      <c r="X13" s="508"/>
      <c r="Y13" s="509"/>
      <c r="Z13" s="58"/>
      <c r="AA13" s="508"/>
      <c r="AB13" s="508"/>
      <c r="AC13" s="516"/>
      <c r="AD13" s="387"/>
      <c r="AE13" s="388"/>
      <c r="AF13" s="388"/>
      <c r="AG13" s="383"/>
    </row>
    <row r="14" spans="2:33" x14ac:dyDescent="0.25">
      <c r="B14" s="33"/>
      <c r="C14" s="33"/>
      <c r="D14" s="40" t="s">
        <v>26</v>
      </c>
      <c r="E14" s="376">
        <v>30</v>
      </c>
      <c r="F14" s="57"/>
      <c r="G14" s="377"/>
      <c r="H14" s="377"/>
      <c r="I14" s="479"/>
      <c r="J14" s="381"/>
      <c r="K14" s="381"/>
      <c r="L14" s="381"/>
      <c r="M14" s="381"/>
      <c r="N14" s="41"/>
      <c r="O14" s="508"/>
      <c r="P14" s="513"/>
      <c r="Q14" s="523"/>
      <c r="R14" s="508"/>
      <c r="S14" s="508"/>
      <c r="T14" s="516"/>
      <c r="U14" s="58"/>
      <c r="V14" s="505"/>
      <c r="W14" s="505"/>
      <c r="X14" s="505"/>
      <c r="Y14" s="507"/>
      <c r="Z14" s="58"/>
      <c r="AA14" s="508"/>
      <c r="AB14" s="508"/>
      <c r="AC14" s="516"/>
      <c r="AD14" s="387"/>
      <c r="AE14" s="388"/>
      <c r="AF14" s="388"/>
      <c r="AG14" s="383"/>
    </row>
    <row r="15" spans="2:33" x14ac:dyDescent="0.25">
      <c r="B15" s="33"/>
      <c r="C15" s="33"/>
      <c r="D15" s="40" t="s">
        <v>27</v>
      </c>
      <c r="E15" s="376">
        <v>31</v>
      </c>
      <c r="F15" s="57"/>
      <c r="G15" s="377"/>
      <c r="H15" s="377"/>
      <c r="I15" s="479"/>
      <c r="J15" s="381"/>
      <c r="K15" s="381"/>
      <c r="L15" s="381"/>
      <c r="M15" s="381"/>
      <c r="N15" s="41"/>
      <c r="O15" s="508"/>
      <c r="P15" s="513"/>
      <c r="Q15" s="523"/>
      <c r="R15" s="508"/>
      <c r="S15" s="508"/>
      <c r="T15" s="516"/>
      <c r="U15" s="58"/>
      <c r="V15" s="504">
        <f>288+72</f>
        <v>360</v>
      </c>
      <c r="W15" s="504">
        <f>V15*28.6</f>
        <v>10296</v>
      </c>
      <c r="X15" s="504">
        <f>V15*34.7</f>
        <v>12492.000000000002</v>
      </c>
      <c r="Y15" s="506">
        <f>X15+W15</f>
        <v>22788</v>
      </c>
      <c r="Z15" s="58"/>
      <c r="AA15" s="508"/>
      <c r="AB15" s="508"/>
      <c r="AC15" s="516"/>
      <c r="AD15" s="387"/>
      <c r="AE15" s="388"/>
      <c r="AF15" s="388"/>
      <c r="AG15" s="383"/>
    </row>
    <row r="16" spans="2:33" x14ac:dyDescent="0.25">
      <c r="B16" s="33"/>
      <c r="C16" s="33"/>
      <c r="D16" s="40" t="s">
        <v>28</v>
      </c>
      <c r="E16" s="376">
        <v>30</v>
      </c>
      <c r="F16" s="57"/>
      <c r="G16" s="377"/>
      <c r="H16" s="377"/>
      <c r="I16" s="479"/>
      <c r="J16" s="381"/>
      <c r="K16" s="381"/>
      <c r="L16" s="381"/>
      <c r="M16" s="381"/>
      <c r="N16" s="41"/>
      <c r="O16" s="508"/>
      <c r="P16" s="513"/>
      <c r="Q16" s="523"/>
      <c r="R16" s="508"/>
      <c r="S16" s="508"/>
      <c r="T16" s="516"/>
      <c r="U16" s="58"/>
      <c r="V16" s="508"/>
      <c r="W16" s="508"/>
      <c r="X16" s="508"/>
      <c r="Y16" s="509"/>
      <c r="Z16" s="58"/>
      <c r="AA16" s="505"/>
      <c r="AB16" s="505"/>
      <c r="AC16" s="517"/>
      <c r="AD16" s="387"/>
      <c r="AE16" s="388"/>
      <c r="AF16" s="388"/>
      <c r="AG16" s="383"/>
    </row>
    <row r="17" spans="2:33" x14ac:dyDescent="0.25">
      <c r="B17" s="33"/>
      <c r="C17" s="33"/>
      <c r="D17" s="40" t="s">
        <v>29</v>
      </c>
      <c r="E17" s="376">
        <v>31</v>
      </c>
      <c r="F17" s="57"/>
      <c r="G17" s="377"/>
      <c r="H17" s="377"/>
      <c r="I17" s="479"/>
      <c r="J17" s="381"/>
      <c r="K17" s="381"/>
      <c r="L17" s="381"/>
      <c r="M17" s="381"/>
      <c r="N17" s="41"/>
      <c r="O17" s="505"/>
      <c r="P17" s="514"/>
      <c r="Q17" s="511"/>
      <c r="R17" s="505"/>
      <c r="S17" s="505"/>
      <c r="T17" s="517"/>
      <c r="U17" s="41"/>
      <c r="V17" s="505"/>
      <c r="W17" s="505"/>
      <c r="X17" s="505"/>
      <c r="Y17" s="507"/>
      <c r="Z17" s="58"/>
      <c r="AA17" s="443">
        <v>0</v>
      </c>
      <c r="AB17" s="443">
        <v>0</v>
      </c>
      <c r="AC17" s="419">
        <v>837.15</v>
      </c>
      <c r="AD17" s="387"/>
      <c r="AE17" s="388"/>
      <c r="AF17" s="388"/>
      <c r="AG17" s="383"/>
    </row>
    <row r="18" spans="2:33" x14ac:dyDescent="0.25">
      <c r="B18" s="43"/>
      <c r="C18" s="43"/>
      <c r="D18" s="44"/>
      <c r="E18" s="60"/>
      <c r="F18" s="60"/>
      <c r="G18" s="45">
        <f>SUM(G6:G17)</f>
        <v>0</v>
      </c>
      <c r="H18" s="45">
        <f t="shared" ref="H18:M18" si="0">SUM(H6:H17)</f>
        <v>0</v>
      </c>
      <c r="I18" s="45">
        <f t="shared" si="0"/>
        <v>0</v>
      </c>
      <c r="J18" s="45">
        <f t="shared" si="0"/>
        <v>0</v>
      </c>
      <c r="K18" s="45">
        <f t="shared" si="0"/>
        <v>0</v>
      </c>
      <c r="L18" s="45">
        <f t="shared" si="0"/>
        <v>0</v>
      </c>
      <c r="M18" s="45">
        <f t="shared" si="0"/>
        <v>0</v>
      </c>
      <c r="N18" s="54"/>
      <c r="O18" s="390">
        <f t="shared" ref="O18:R18" si="1">SUM(O6:O17)</f>
        <v>970</v>
      </c>
      <c r="P18" s="391">
        <f t="shared" si="1"/>
        <v>5379.71</v>
      </c>
      <c r="Q18" s="392">
        <f t="shared" si="1"/>
        <v>20669</v>
      </c>
      <c r="R18" s="458">
        <f t="shared" si="1"/>
        <v>20197</v>
      </c>
      <c r="S18" s="393"/>
      <c r="T18" s="394">
        <f t="shared" ref="T18" si="2">SUM(T6:T17)</f>
        <v>110918.1</v>
      </c>
      <c r="U18" s="61"/>
      <c r="V18" s="45">
        <f>SUM(V6:V17)</f>
        <v>1100</v>
      </c>
      <c r="W18" s="45"/>
      <c r="X18" s="45"/>
      <c r="Y18" s="45">
        <f>SUM(Y6:Y17)</f>
        <v>69630</v>
      </c>
      <c r="Z18" s="32"/>
      <c r="AA18" s="45">
        <f>SUM(AA6:AA17)</f>
        <v>253543.1</v>
      </c>
      <c r="AB18" s="45">
        <f>SUM(AB6:AB17)</f>
        <v>23852.34</v>
      </c>
      <c r="AC18" s="391">
        <f t="shared" ref="AC18" si="3">SUM(AC6:AC17)</f>
        <v>306074.78250000003</v>
      </c>
      <c r="AD18" s="395">
        <f>SUM(AD6:AD17)</f>
        <v>0</v>
      </c>
      <c r="AE18" s="46"/>
      <c r="AF18" s="46">
        <f t="shared" ref="AF18:AG18" si="4">SUM(AF6:AF17)</f>
        <v>0</v>
      </c>
      <c r="AG18" s="394">
        <f t="shared" si="4"/>
        <v>0</v>
      </c>
    </row>
    <row r="19" spans="2:33" ht="15.75" x14ac:dyDescent="0.25">
      <c r="B19" s="396"/>
      <c r="C19" s="397"/>
      <c r="D19" s="398" t="s">
        <v>34</v>
      </c>
      <c r="G19" s="48">
        <v>0.15</v>
      </c>
      <c r="H19" s="49">
        <f>H18*(1+G19)</f>
        <v>0</v>
      </c>
      <c r="I19" s="49"/>
      <c r="J19" s="49">
        <f>J18*(1+G19)</f>
        <v>0</v>
      </c>
      <c r="K19" s="50"/>
      <c r="L19" s="51"/>
      <c r="M19" s="49">
        <f>M18*(1+G19)</f>
        <v>0</v>
      </c>
      <c r="N19" s="62"/>
      <c r="O19" s="400">
        <v>0.21</v>
      </c>
      <c r="P19" s="401">
        <f>P18*(1+O19)</f>
        <v>6509.4490999999998</v>
      </c>
      <c r="Q19" s="402">
        <v>0.21</v>
      </c>
      <c r="R19" s="400"/>
      <c r="S19" s="400"/>
      <c r="T19" s="401">
        <f>T18*(1+Q19)</f>
        <v>134210.90100000001</v>
      </c>
      <c r="U19" s="62"/>
      <c r="V19" s="48">
        <v>0.15</v>
      </c>
      <c r="W19" s="48"/>
      <c r="X19" s="48"/>
      <c r="Y19" s="49">
        <f>Y18*(1+V19)</f>
        <v>80074.5</v>
      </c>
      <c r="Z19" s="62"/>
      <c r="AA19" s="48">
        <v>0.21</v>
      </c>
      <c r="AB19" s="42"/>
      <c r="AC19" s="401">
        <f>AC18*(1+AA19)</f>
        <v>370350.48682500003</v>
      </c>
      <c r="AD19" s="403">
        <v>0.21</v>
      </c>
      <c r="AE19" s="48"/>
      <c r="AF19" s="42"/>
      <c r="AG19" s="401">
        <f>AG18*(1+AD19)</f>
        <v>0</v>
      </c>
    </row>
    <row r="20" spans="2:33" ht="20.100000000000001" customHeight="1" x14ac:dyDescent="0.25">
      <c r="B20" s="396"/>
      <c r="C20" s="397"/>
      <c r="D20" s="398"/>
      <c r="G20" s="404"/>
      <c r="H20" s="405"/>
      <c r="I20" s="405"/>
      <c r="J20" s="405"/>
      <c r="K20" s="406"/>
      <c r="L20" s="54"/>
      <c r="M20" s="405"/>
      <c r="O20" s="407"/>
      <c r="P20" s="408"/>
      <c r="Q20" s="409"/>
      <c r="R20" s="407"/>
      <c r="S20" s="410"/>
      <c r="T20" s="408"/>
      <c r="V20" s="404"/>
      <c r="W20" s="404"/>
      <c r="X20" s="404"/>
      <c r="Y20" s="405"/>
      <c r="AA20" s="404"/>
      <c r="AB20" s="411"/>
      <c r="AC20" s="408"/>
      <c r="AD20" s="412"/>
      <c r="AE20" s="404"/>
      <c r="AF20" s="411"/>
      <c r="AG20" s="408"/>
    </row>
    <row r="21" spans="2:33" ht="20.100000000000001" customHeight="1" x14ac:dyDescent="0.25">
      <c r="G21" s="53"/>
      <c r="H21" s="63"/>
      <c r="I21" s="63"/>
      <c r="J21" s="63"/>
      <c r="K21" s="63"/>
      <c r="L21" s="63"/>
      <c r="M21" s="63"/>
      <c r="N21" s="65"/>
      <c r="O21" s="413"/>
      <c r="P21" s="414"/>
      <c r="Q21" s="415"/>
      <c r="R21" s="460"/>
      <c r="S21" s="416"/>
      <c r="T21" s="417"/>
      <c r="U21" s="65"/>
      <c r="V21" s="63"/>
      <c r="W21" s="63"/>
      <c r="X21" s="63"/>
      <c r="Y21" s="63"/>
      <c r="Z21" s="65"/>
      <c r="AC21" s="414"/>
      <c r="AD21" s="375"/>
      <c r="AE21" s="34"/>
      <c r="AF21" s="34"/>
      <c r="AG21" s="417"/>
    </row>
    <row r="22" spans="2:33" ht="15.75" x14ac:dyDescent="0.25">
      <c r="B22" s="47">
        <f>B6+1</f>
        <v>2016</v>
      </c>
      <c r="D22" s="40" t="s">
        <v>18</v>
      </c>
      <c r="E22" s="376">
        <v>31</v>
      </c>
      <c r="F22" s="57"/>
      <c r="G22" s="377"/>
      <c r="H22" s="377"/>
      <c r="I22" s="479"/>
      <c r="J22" s="381"/>
      <c r="K22" s="381"/>
      <c r="L22" s="381"/>
      <c r="M22" s="381"/>
      <c r="N22" s="41"/>
      <c r="O22" s="524">
        <v>465</v>
      </c>
      <c r="P22" s="512">
        <v>2446.7800000000002</v>
      </c>
      <c r="Q22" s="528">
        <v>7341</v>
      </c>
      <c r="R22" s="524">
        <v>7423</v>
      </c>
      <c r="S22" s="524">
        <f>R22+Q22</f>
        <v>14764</v>
      </c>
      <c r="T22" s="515">
        <v>39635.379999999997</v>
      </c>
      <c r="U22" s="58"/>
      <c r="V22" s="504">
        <f>135.2+33.8</f>
        <v>169</v>
      </c>
      <c r="W22" s="504">
        <f>V22*29.08</f>
        <v>4914.5199999999995</v>
      </c>
      <c r="X22" s="504">
        <f>V22*35.46</f>
        <v>5992.74</v>
      </c>
      <c r="Y22" s="506">
        <f>X22+W22</f>
        <v>10907.259999999998</v>
      </c>
      <c r="Z22" s="59"/>
      <c r="AA22" s="524">
        <v>100807.34</v>
      </c>
      <c r="AB22" s="524">
        <v>9453.76</v>
      </c>
      <c r="AC22" s="525">
        <v>117200.28</v>
      </c>
      <c r="AD22" s="387"/>
      <c r="AE22" s="388"/>
      <c r="AF22" s="388"/>
      <c r="AG22" s="383"/>
    </row>
    <row r="23" spans="2:33" x14ac:dyDescent="0.25">
      <c r="D23" s="40" t="s">
        <v>19</v>
      </c>
      <c r="E23" s="376">
        <v>29</v>
      </c>
      <c r="F23" s="57"/>
      <c r="G23" s="377"/>
      <c r="H23" s="377"/>
      <c r="I23" s="479"/>
      <c r="J23" s="381"/>
      <c r="K23" s="381"/>
      <c r="L23" s="381"/>
      <c r="M23" s="381"/>
      <c r="N23" s="41"/>
      <c r="O23" s="518"/>
      <c r="P23" s="513"/>
      <c r="Q23" s="529"/>
      <c r="R23" s="518"/>
      <c r="S23" s="518"/>
      <c r="T23" s="516"/>
      <c r="U23" s="58"/>
      <c r="V23" s="505"/>
      <c r="W23" s="505"/>
      <c r="X23" s="505"/>
      <c r="Y23" s="507"/>
      <c r="Z23" s="58"/>
      <c r="AA23" s="519"/>
      <c r="AB23" s="519"/>
      <c r="AC23" s="527"/>
      <c r="AD23" s="387"/>
      <c r="AE23" s="388"/>
      <c r="AF23" s="388"/>
      <c r="AG23" s="383"/>
    </row>
    <row r="24" spans="2:33" x14ac:dyDescent="0.25">
      <c r="D24" s="40" t="s">
        <v>20</v>
      </c>
      <c r="E24" s="376">
        <v>31</v>
      </c>
      <c r="F24" s="57"/>
      <c r="G24" s="377"/>
      <c r="H24" s="377"/>
      <c r="I24" s="479"/>
      <c r="J24" s="381"/>
      <c r="K24" s="381"/>
      <c r="L24" s="381"/>
      <c r="M24" s="381"/>
      <c r="N24" s="41"/>
      <c r="O24" s="518"/>
      <c r="P24" s="513"/>
      <c r="Q24" s="529"/>
      <c r="R24" s="518"/>
      <c r="S24" s="518"/>
      <c r="T24" s="516"/>
      <c r="U24" s="58"/>
      <c r="V24" s="504">
        <f>47.2+188.8</f>
        <v>236</v>
      </c>
      <c r="W24" s="504">
        <f>V24*29.08</f>
        <v>6862.8799999999992</v>
      </c>
      <c r="X24" s="504">
        <f>V24*35.46</f>
        <v>8368.56</v>
      </c>
      <c r="Y24" s="506">
        <f>X24+W24</f>
        <v>15231.439999999999</v>
      </c>
      <c r="Z24" s="58"/>
      <c r="AA24" s="524">
        <v>172990.26</v>
      </c>
      <c r="AB24" s="524">
        <v>16185.47</v>
      </c>
      <c r="AC24" s="525">
        <v>202460.34</v>
      </c>
      <c r="AD24" s="387"/>
      <c r="AE24" s="388"/>
      <c r="AF24" s="388"/>
      <c r="AG24" s="383"/>
    </row>
    <row r="25" spans="2:33" x14ac:dyDescent="0.25">
      <c r="D25" s="40" t="s">
        <v>21</v>
      </c>
      <c r="E25" s="376">
        <v>30</v>
      </c>
      <c r="F25" s="57"/>
      <c r="G25" s="377"/>
      <c r="H25" s="377"/>
      <c r="I25" s="479"/>
      <c r="J25" s="381"/>
      <c r="K25" s="381"/>
      <c r="L25" s="381"/>
      <c r="M25" s="381"/>
      <c r="N25" s="41"/>
      <c r="O25" s="518"/>
      <c r="P25" s="513"/>
      <c r="Q25" s="530"/>
      <c r="R25" s="519"/>
      <c r="S25" s="518"/>
      <c r="T25" s="517"/>
      <c r="U25" s="58"/>
      <c r="V25" s="508"/>
      <c r="W25" s="508"/>
      <c r="X25" s="508"/>
      <c r="Y25" s="509"/>
      <c r="Z25" s="58"/>
      <c r="AA25" s="518"/>
      <c r="AB25" s="518"/>
      <c r="AC25" s="526"/>
      <c r="AD25" s="387"/>
      <c r="AE25" s="388"/>
      <c r="AF25" s="388"/>
      <c r="AG25" s="420"/>
    </row>
    <row r="26" spans="2:33" x14ac:dyDescent="0.25">
      <c r="D26" s="40" t="s">
        <v>22</v>
      </c>
      <c r="E26" s="376">
        <v>31</v>
      </c>
      <c r="F26" s="57"/>
      <c r="G26" s="377"/>
      <c r="H26" s="377"/>
      <c r="I26" s="479"/>
      <c r="J26" s="381"/>
      <c r="K26" s="381"/>
      <c r="L26" s="381"/>
      <c r="M26" s="381"/>
      <c r="N26" s="41"/>
      <c r="O26" s="519"/>
      <c r="P26" s="514"/>
      <c r="Q26" s="528">
        <v>3909</v>
      </c>
      <c r="R26" s="524">
        <v>5168</v>
      </c>
      <c r="S26" s="518">
        <f>R26+Q26</f>
        <v>9077</v>
      </c>
      <c r="T26" s="515">
        <v>63311.78</v>
      </c>
      <c r="U26" s="58"/>
      <c r="V26" s="505"/>
      <c r="W26" s="505"/>
      <c r="X26" s="505"/>
      <c r="Y26" s="507"/>
      <c r="Z26" s="58"/>
      <c r="AA26" s="518"/>
      <c r="AB26" s="518"/>
      <c r="AC26" s="526"/>
      <c r="AD26" s="387"/>
      <c r="AE26" s="388"/>
      <c r="AF26" s="388"/>
      <c r="AG26" s="420"/>
    </row>
    <row r="27" spans="2:33" x14ac:dyDescent="0.25">
      <c r="D27" s="40" t="s">
        <v>23</v>
      </c>
      <c r="E27" s="376">
        <v>30</v>
      </c>
      <c r="F27" s="57"/>
      <c r="G27" s="377"/>
      <c r="H27" s="377"/>
      <c r="I27" s="479"/>
      <c r="J27" s="381"/>
      <c r="K27" s="381"/>
      <c r="L27" s="381"/>
      <c r="M27" s="381"/>
      <c r="N27" s="41"/>
      <c r="O27" s="504">
        <v>239</v>
      </c>
      <c r="P27" s="512">
        <v>3359.8</v>
      </c>
      <c r="Q27" s="529"/>
      <c r="R27" s="518"/>
      <c r="S27" s="518"/>
      <c r="T27" s="516"/>
      <c r="U27" s="58"/>
      <c r="V27" s="504">
        <f>169.6+42.4</f>
        <v>212</v>
      </c>
      <c r="W27" s="504">
        <f>V27*29.08</f>
        <v>6164.96</v>
      </c>
      <c r="X27" s="504">
        <f>V27*35.46</f>
        <v>7517.52</v>
      </c>
      <c r="Y27" s="506">
        <f>X27+W27</f>
        <v>13682.48</v>
      </c>
      <c r="Z27" s="58"/>
      <c r="AA27" s="518"/>
      <c r="AB27" s="518"/>
      <c r="AC27" s="526"/>
      <c r="AD27" s="387"/>
      <c r="AE27" s="388"/>
      <c r="AF27" s="388"/>
      <c r="AG27" s="420"/>
    </row>
    <row r="28" spans="2:33" x14ac:dyDescent="0.25">
      <c r="D28" s="40" t="s">
        <v>24</v>
      </c>
      <c r="E28" s="376">
        <v>31</v>
      </c>
      <c r="F28" s="57"/>
      <c r="G28" s="377"/>
      <c r="H28" s="377"/>
      <c r="I28" s="479"/>
      <c r="J28" s="381"/>
      <c r="K28" s="381"/>
      <c r="L28" s="381"/>
      <c r="M28" s="381"/>
      <c r="N28" s="41"/>
      <c r="O28" s="508"/>
      <c r="P28" s="513"/>
      <c r="Q28" s="529"/>
      <c r="R28" s="518"/>
      <c r="S28" s="518"/>
      <c r="T28" s="516"/>
      <c r="U28" s="58"/>
      <c r="V28" s="508"/>
      <c r="W28" s="508"/>
      <c r="X28" s="508"/>
      <c r="Y28" s="509"/>
      <c r="Z28" s="58"/>
      <c r="AA28" s="518"/>
      <c r="AB28" s="518"/>
      <c r="AC28" s="526"/>
      <c r="AD28" s="387"/>
      <c r="AE28" s="388"/>
      <c r="AF28" s="388"/>
      <c r="AG28" s="420"/>
    </row>
    <row r="29" spans="2:33" x14ac:dyDescent="0.25">
      <c r="D29" s="40" t="s">
        <v>25</v>
      </c>
      <c r="E29" s="376">
        <v>31</v>
      </c>
      <c r="F29" s="57"/>
      <c r="G29" s="377"/>
      <c r="H29" s="377"/>
      <c r="I29" s="479"/>
      <c r="J29" s="381"/>
      <c r="K29" s="381"/>
      <c r="L29" s="381"/>
      <c r="M29" s="381"/>
      <c r="N29" s="41"/>
      <c r="O29" s="505"/>
      <c r="P29" s="513"/>
      <c r="Q29" s="530"/>
      <c r="R29" s="519"/>
      <c r="S29" s="518"/>
      <c r="T29" s="516"/>
      <c r="U29" s="58"/>
      <c r="V29" s="508"/>
      <c r="W29" s="508"/>
      <c r="X29" s="508"/>
      <c r="Y29" s="509"/>
      <c r="Z29" s="58"/>
      <c r="AA29" s="518"/>
      <c r="AB29" s="518"/>
      <c r="AC29" s="526"/>
      <c r="AD29" s="387"/>
      <c r="AE29" s="388"/>
      <c r="AF29" s="388"/>
      <c r="AG29" s="420"/>
    </row>
    <row r="30" spans="2:33" x14ac:dyDescent="0.25">
      <c r="D30" s="40" t="s">
        <v>26</v>
      </c>
      <c r="E30" s="376">
        <v>30</v>
      </c>
      <c r="F30" s="57"/>
      <c r="G30" s="377"/>
      <c r="H30" s="377"/>
      <c r="I30" s="479"/>
      <c r="J30" s="381"/>
      <c r="K30" s="381"/>
      <c r="L30" s="381"/>
      <c r="M30" s="381"/>
      <c r="N30" s="41"/>
      <c r="O30" s="424">
        <v>69</v>
      </c>
      <c r="P30" s="513"/>
      <c r="Q30" s="426">
        <v>1235</v>
      </c>
      <c r="R30" s="424">
        <v>1360</v>
      </c>
      <c r="S30" s="421">
        <f>R30+Q30</f>
        <v>2595</v>
      </c>
      <c r="T30" s="516"/>
      <c r="U30" s="58"/>
      <c r="V30" s="505"/>
      <c r="W30" s="505"/>
      <c r="X30" s="505"/>
      <c r="Y30" s="507"/>
      <c r="Z30" s="58"/>
      <c r="AA30" s="518"/>
      <c r="AB30" s="518"/>
      <c r="AC30" s="526"/>
      <c r="AD30" s="387"/>
      <c r="AE30" s="388"/>
      <c r="AF30" s="388"/>
      <c r="AG30" s="420"/>
    </row>
    <row r="31" spans="2:33" x14ac:dyDescent="0.25">
      <c r="D31" s="40" t="s">
        <v>27</v>
      </c>
      <c r="E31" s="376">
        <v>31</v>
      </c>
      <c r="F31" s="57"/>
      <c r="G31" s="377"/>
      <c r="H31" s="377"/>
      <c r="I31" s="479"/>
      <c r="J31" s="381"/>
      <c r="K31" s="381"/>
      <c r="L31" s="381"/>
      <c r="M31" s="381"/>
      <c r="N31" s="41"/>
      <c r="O31" s="424">
        <v>114</v>
      </c>
      <c r="P31" s="513"/>
      <c r="Q31" s="426">
        <v>2220</v>
      </c>
      <c r="R31" s="424">
        <v>1935</v>
      </c>
      <c r="S31" s="421">
        <f>R31+Q31</f>
        <v>4155</v>
      </c>
      <c r="T31" s="516"/>
      <c r="U31" s="58"/>
      <c r="V31" s="504">
        <f>180+45</f>
        <v>225</v>
      </c>
      <c r="W31" s="504">
        <f>V31*29.08</f>
        <v>6543</v>
      </c>
      <c r="X31" s="504">
        <f>V31*35.46</f>
        <v>7978.5</v>
      </c>
      <c r="Y31" s="506">
        <f>X31+W31</f>
        <v>14521.5</v>
      </c>
      <c r="Z31" s="58"/>
      <c r="AA31" s="518"/>
      <c r="AB31" s="518"/>
      <c r="AC31" s="526"/>
      <c r="AD31" s="387"/>
      <c r="AE31" s="388"/>
      <c r="AF31" s="388"/>
      <c r="AG31" s="420"/>
    </row>
    <row r="32" spans="2:33" x14ac:dyDescent="0.25">
      <c r="D32" s="40" t="s">
        <v>28</v>
      </c>
      <c r="E32" s="376">
        <v>30</v>
      </c>
      <c r="F32" s="57"/>
      <c r="G32" s="377"/>
      <c r="H32" s="377"/>
      <c r="I32" s="479"/>
      <c r="J32" s="381"/>
      <c r="K32" s="381"/>
      <c r="L32" s="381"/>
      <c r="M32" s="381"/>
      <c r="N32" s="41"/>
      <c r="O32" s="504">
        <v>133</v>
      </c>
      <c r="P32" s="513"/>
      <c r="Q32" s="510">
        <v>4105</v>
      </c>
      <c r="R32" s="504">
        <v>3453</v>
      </c>
      <c r="S32" s="518">
        <f>R32+Q32</f>
        <v>7558</v>
      </c>
      <c r="T32" s="516"/>
      <c r="U32" s="58"/>
      <c r="V32" s="508"/>
      <c r="W32" s="508"/>
      <c r="X32" s="508"/>
      <c r="Y32" s="509"/>
      <c r="Z32" s="58"/>
      <c r="AA32" s="518"/>
      <c r="AB32" s="518"/>
      <c r="AC32" s="526"/>
      <c r="AD32" s="387"/>
      <c r="AE32" s="388"/>
      <c r="AF32" s="388"/>
      <c r="AG32" s="420"/>
    </row>
    <row r="33" spans="2:35" x14ac:dyDescent="0.25">
      <c r="D33" s="40" t="s">
        <v>29</v>
      </c>
      <c r="E33" s="376">
        <v>31</v>
      </c>
      <c r="F33" s="57"/>
      <c r="G33" s="377"/>
      <c r="H33" s="377"/>
      <c r="I33" s="479"/>
      <c r="J33" s="381"/>
      <c r="K33" s="381"/>
      <c r="L33" s="381"/>
      <c r="M33" s="381"/>
      <c r="N33" s="41"/>
      <c r="O33" s="505"/>
      <c r="P33" s="514"/>
      <c r="Q33" s="511"/>
      <c r="R33" s="505"/>
      <c r="S33" s="519"/>
      <c r="T33" s="517"/>
      <c r="U33" s="41"/>
      <c r="V33" s="505"/>
      <c r="W33" s="505"/>
      <c r="X33" s="505"/>
      <c r="Y33" s="507"/>
      <c r="Z33" s="58"/>
      <c r="AA33" s="519"/>
      <c r="AB33" s="519"/>
      <c r="AC33" s="527"/>
      <c r="AD33" s="387"/>
      <c r="AE33" s="388"/>
      <c r="AF33" s="388"/>
      <c r="AG33" s="420"/>
    </row>
    <row r="34" spans="2:35" x14ac:dyDescent="0.25">
      <c r="B34" s="43"/>
      <c r="C34" s="43"/>
      <c r="D34" s="44"/>
      <c r="E34" s="60"/>
      <c r="F34" s="60"/>
      <c r="G34" s="45">
        <f>SUM(G22:G33)</f>
        <v>0</v>
      </c>
      <c r="H34" s="45">
        <f t="shared" ref="H34:M34" si="5">SUM(H22:H33)</f>
        <v>0</v>
      </c>
      <c r="I34" s="45">
        <f t="shared" si="5"/>
        <v>0</v>
      </c>
      <c r="J34" s="45">
        <f t="shared" si="5"/>
        <v>0</v>
      </c>
      <c r="K34" s="45">
        <f t="shared" si="5"/>
        <v>0</v>
      </c>
      <c r="L34" s="45">
        <f t="shared" si="5"/>
        <v>0</v>
      </c>
      <c r="M34" s="45">
        <f t="shared" si="5"/>
        <v>0</v>
      </c>
      <c r="N34" s="45"/>
      <c r="O34" s="390">
        <f>SUM(O22:O33)</f>
        <v>1020</v>
      </c>
      <c r="P34" s="391">
        <f>SUM(P22:P33)</f>
        <v>5806.58</v>
      </c>
      <c r="Q34" s="392">
        <f>SUM(Q22:Q33)</f>
        <v>18810</v>
      </c>
      <c r="R34" s="458">
        <f>SUM(R22:R33)</f>
        <v>19339</v>
      </c>
      <c r="S34" s="393"/>
      <c r="T34" s="394">
        <f>SUM(T22:T33)</f>
        <v>102947.16</v>
      </c>
      <c r="U34" s="45"/>
      <c r="V34" s="45">
        <f t="shared" ref="V34" si="6">SUM(V22:V33)</f>
        <v>842</v>
      </c>
      <c r="W34" s="45"/>
      <c r="X34" s="45"/>
      <c r="Y34" s="45">
        <f t="shared" ref="Y34" si="7">SUM(Y22:Y33)</f>
        <v>54342.679999999993</v>
      </c>
      <c r="Z34" s="46"/>
      <c r="AA34" s="45">
        <f>SUM(AA22:AA33)</f>
        <v>273797.59999999998</v>
      </c>
      <c r="AB34" s="45">
        <f t="shared" ref="AB34:AC34" si="8">SUM(AB22:AB33)</f>
        <v>25639.23</v>
      </c>
      <c r="AC34" s="391">
        <f t="shared" si="8"/>
        <v>319660.62</v>
      </c>
      <c r="AD34" s="395">
        <f>SUM(AD22:AD33)</f>
        <v>0</v>
      </c>
      <c r="AE34" s="46"/>
      <c r="AF34" s="46">
        <f t="shared" ref="AF34:AG34" si="9">SUM(AF22:AF33)</f>
        <v>0</v>
      </c>
      <c r="AG34" s="394">
        <f t="shared" si="9"/>
        <v>0</v>
      </c>
    </row>
    <row r="35" spans="2:35" ht="15.75" x14ac:dyDescent="0.25">
      <c r="B35" s="396"/>
      <c r="C35" s="397"/>
      <c r="D35" s="398" t="s">
        <v>34</v>
      </c>
      <c r="G35" s="48">
        <v>0.15</v>
      </c>
      <c r="H35" s="49">
        <f>H34*(1+G35)</f>
        <v>0</v>
      </c>
      <c r="I35" s="49"/>
      <c r="J35" s="49">
        <f>J34*(1+G35)</f>
        <v>0</v>
      </c>
      <c r="K35" s="50"/>
      <c r="L35" s="51"/>
      <c r="M35" s="49">
        <f>M34*(1+G35)</f>
        <v>0</v>
      </c>
      <c r="N35" s="42"/>
      <c r="O35" s="400">
        <v>0.21</v>
      </c>
      <c r="P35" s="401">
        <f>P34*(1+O35)</f>
        <v>7025.9618</v>
      </c>
      <c r="Q35" s="402">
        <v>0.21</v>
      </c>
      <c r="R35" s="400"/>
      <c r="S35" s="400"/>
      <c r="T35" s="401">
        <f>T34*(1+Q35)</f>
        <v>124566.06359999999</v>
      </c>
      <c r="U35" s="42"/>
      <c r="V35" s="48">
        <v>0.15</v>
      </c>
      <c r="W35" s="48"/>
      <c r="X35" s="48"/>
      <c r="Y35" s="49">
        <f>Y34*(1+V35)</f>
        <v>62494.081999999988</v>
      </c>
      <c r="Z35" s="42"/>
      <c r="AA35" s="48">
        <v>0.21</v>
      </c>
      <c r="AB35" s="42"/>
      <c r="AC35" s="401">
        <f>AC34*(1+AA35)</f>
        <v>386789.35019999999</v>
      </c>
      <c r="AD35" s="403">
        <v>0.21</v>
      </c>
      <c r="AE35" s="48"/>
      <c r="AF35" s="42"/>
      <c r="AG35" s="401">
        <f>AG34*(1+AD35)</f>
        <v>0</v>
      </c>
    </row>
    <row r="36" spans="2:35" ht="15.75" x14ac:dyDescent="0.25">
      <c r="B36" s="396"/>
      <c r="C36" s="397"/>
      <c r="D36" s="398"/>
      <c r="G36" s="404"/>
      <c r="H36" s="405"/>
      <c r="I36" s="405"/>
      <c r="J36" s="405"/>
      <c r="K36" s="406"/>
      <c r="L36" s="54"/>
      <c r="M36" s="405"/>
      <c r="N36" s="411"/>
      <c r="O36" s="407"/>
      <c r="P36" s="408"/>
      <c r="Q36" s="409"/>
      <c r="R36" s="407"/>
      <c r="S36" s="410"/>
      <c r="T36" s="408"/>
      <c r="U36" s="411"/>
      <c r="V36" s="404"/>
      <c r="W36" s="404"/>
      <c r="X36" s="404"/>
      <c r="Y36" s="405"/>
      <c r="Z36" s="411"/>
      <c r="AA36" s="404"/>
      <c r="AB36" s="411"/>
      <c r="AC36" s="408"/>
      <c r="AD36" s="412"/>
      <c r="AE36" s="404"/>
      <c r="AF36" s="411"/>
      <c r="AG36" s="408"/>
    </row>
    <row r="37" spans="2:35" ht="20.100000000000001" customHeight="1" x14ac:dyDescent="0.25">
      <c r="G37" s="53"/>
      <c r="H37" s="63"/>
      <c r="I37" s="63"/>
      <c r="J37" s="63"/>
      <c r="K37" s="63"/>
      <c r="L37" s="63"/>
      <c r="M37" s="63"/>
      <c r="N37" s="65"/>
      <c r="O37" s="413"/>
      <c r="P37" s="414"/>
      <c r="Q37" s="415"/>
      <c r="R37" s="465"/>
      <c r="S37" s="416"/>
      <c r="T37" s="417"/>
      <c r="U37" s="65"/>
      <c r="V37" s="63"/>
      <c r="W37" s="63"/>
      <c r="X37" s="63"/>
      <c r="Y37" s="63"/>
      <c r="Z37" s="65"/>
      <c r="AC37" s="414"/>
      <c r="AD37" s="375"/>
      <c r="AE37" s="34"/>
      <c r="AF37" s="34"/>
      <c r="AG37" s="417"/>
    </row>
    <row r="38" spans="2:35" ht="15.75" x14ac:dyDescent="0.25">
      <c r="B38" s="47">
        <f>B22+1</f>
        <v>2017</v>
      </c>
      <c r="D38" s="40" t="s">
        <v>18</v>
      </c>
      <c r="E38" s="376">
        <v>31</v>
      </c>
      <c r="F38" s="57"/>
      <c r="G38" s="377"/>
      <c r="H38" s="377"/>
      <c r="I38" s="478"/>
      <c r="J38" s="485"/>
      <c r="K38" s="422"/>
      <c r="L38" s="422"/>
      <c r="M38" s="422"/>
      <c r="N38" s="66"/>
      <c r="O38" s="424">
        <v>19</v>
      </c>
      <c r="P38" s="512">
        <v>1993.82</v>
      </c>
      <c r="Q38" s="426">
        <v>155</v>
      </c>
      <c r="R38" s="424">
        <v>131</v>
      </c>
      <c r="S38" s="424">
        <f t="shared" ref="S38:S39" si="10">R38+Q38</f>
        <v>286</v>
      </c>
      <c r="T38" s="515">
        <v>48746.47</v>
      </c>
      <c r="U38" s="58"/>
      <c r="V38" s="504">
        <f>95.2+23.8</f>
        <v>119</v>
      </c>
      <c r="W38" s="504">
        <f>V38*29.86</f>
        <v>3553.34</v>
      </c>
      <c r="X38" s="504">
        <f>V38*36.38</f>
        <v>4329.22</v>
      </c>
      <c r="Y38" s="506">
        <f>X38+W38</f>
        <v>7882.56</v>
      </c>
      <c r="Z38" s="59"/>
      <c r="AA38" s="504">
        <v>127866.26</v>
      </c>
      <c r="AB38" s="504">
        <v>11956.04</v>
      </c>
      <c r="AC38" s="515">
        <v>95301.03</v>
      </c>
      <c r="AD38" s="387"/>
      <c r="AE38" s="424"/>
      <c r="AF38" s="388"/>
      <c r="AG38" s="383"/>
    </row>
    <row r="39" spans="2:35" x14ac:dyDescent="0.25">
      <c r="D39" s="40" t="s">
        <v>19</v>
      </c>
      <c r="E39" s="376">
        <v>28</v>
      </c>
      <c r="F39" s="57"/>
      <c r="G39" s="377"/>
      <c r="H39" s="377"/>
      <c r="I39" s="478"/>
      <c r="J39" s="485"/>
      <c r="K39" s="422"/>
      <c r="L39" s="422"/>
      <c r="M39" s="422"/>
      <c r="N39" s="66"/>
      <c r="O39" s="424">
        <v>101</v>
      </c>
      <c r="P39" s="513"/>
      <c r="Q39" s="426">
        <v>3294</v>
      </c>
      <c r="R39" s="424">
        <v>2605</v>
      </c>
      <c r="S39" s="424">
        <f t="shared" si="10"/>
        <v>5899</v>
      </c>
      <c r="T39" s="516"/>
      <c r="U39" s="58"/>
      <c r="V39" s="505"/>
      <c r="W39" s="505"/>
      <c r="X39" s="505"/>
      <c r="Y39" s="507"/>
      <c r="Z39" s="58"/>
      <c r="AA39" s="508"/>
      <c r="AB39" s="508"/>
      <c r="AC39" s="516"/>
      <c r="AD39" s="387"/>
      <c r="AE39" s="424"/>
      <c r="AF39" s="388"/>
      <c r="AG39" s="383"/>
    </row>
    <row r="40" spans="2:35" x14ac:dyDescent="0.25">
      <c r="D40" s="40" t="s">
        <v>20</v>
      </c>
      <c r="E40" s="376">
        <v>31</v>
      </c>
      <c r="F40" s="57"/>
      <c r="G40" s="377"/>
      <c r="H40" s="377"/>
      <c r="I40" s="478"/>
      <c r="J40" s="485"/>
      <c r="K40" s="422"/>
      <c r="L40" s="422"/>
      <c r="M40" s="422"/>
      <c r="N40" s="66"/>
      <c r="O40" s="424">
        <v>83</v>
      </c>
      <c r="P40" s="513"/>
      <c r="Q40" s="426">
        <v>2501</v>
      </c>
      <c r="R40" s="424">
        <v>2098</v>
      </c>
      <c r="S40" s="424">
        <f>R40+Q40</f>
        <v>4599</v>
      </c>
      <c r="T40" s="516"/>
      <c r="U40" s="58"/>
      <c r="V40" s="504">
        <f>42.8+171.2</f>
        <v>214</v>
      </c>
      <c r="W40" s="504">
        <f>V40*29.86</f>
        <v>6390.04</v>
      </c>
      <c r="X40" s="504">
        <f>V40*36.38</f>
        <v>7785.3200000000006</v>
      </c>
      <c r="Y40" s="506">
        <f>X40+W40</f>
        <v>14175.36</v>
      </c>
      <c r="Z40" s="58"/>
      <c r="AA40" s="505"/>
      <c r="AB40" s="505"/>
      <c r="AC40" s="517"/>
      <c r="AD40" s="387"/>
      <c r="AE40" s="424"/>
      <c r="AF40" s="388"/>
      <c r="AG40" s="383"/>
    </row>
    <row r="41" spans="2:35" x14ac:dyDescent="0.25">
      <c r="D41" s="40" t="s">
        <v>21</v>
      </c>
      <c r="E41" s="376">
        <v>30</v>
      </c>
      <c r="F41" s="57"/>
      <c r="G41" s="377"/>
      <c r="H41" s="377"/>
      <c r="I41" s="478"/>
      <c r="J41" s="485"/>
      <c r="K41" s="422"/>
      <c r="L41" s="422"/>
      <c r="M41" s="422"/>
      <c r="N41" s="66"/>
      <c r="O41" s="504">
        <v>168</v>
      </c>
      <c r="P41" s="513"/>
      <c r="Q41" s="426">
        <v>4096</v>
      </c>
      <c r="R41" s="424">
        <v>3728</v>
      </c>
      <c r="S41" s="424">
        <f>R41+Q41</f>
        <v>7824</v>
      </c>
      <c r="T41" s="517"/>
      <c r="U41" s="58"/>
      <c r="V41" s="508"/>
      <c r="W41" s="508"/>
      <c r="X41" s="508"/>
      <c r="Y41" s="509"/>
      <c r="Z41" s="58"/>
      <c r="AA41" s="504">
        <v>57849.86</v>
      </c>
      <c r="AB41" s="504">
        <v>5419.14</v>
      </c>
      <c r="AC41" s="515">
        <v>140332.63</v>
      </c>
      <c r="AD41" s="387"/>
      <c r="AE41" s="424"/>
      <c r="AF41" s="388"/>
      <c r="AG41" s="383"/>
      <c r="AI41" s="425"/>
    </row>
    <row r="42" spans="2:35" x14ac:dyDescent="0.25">
      <c r="D42" s="40" t="s">
        <v>22</v>
      </c>
      <c r="E42" s="376">
        <v>31</v>
      </c>
      <c r="F42" s="57"/>
      <c r="G42" s="377"/>
      <c r="H42" s="377"/>
      <c r="I42" s="478"/>
      <c r="J42" s="485"/>
      <c r="K42" s="422"/>
      <c r="L42" s="422"/>
      <c r="M42" s="422"/>
      <c r="N42" s="66"/>
      <c r="O42" s="505"/>
      <c r="P42" s="514"/>
      <c r="Q42" s="426">
        <v>1957</v>
      </c>
      <c r="R42" s="424">
        <v>2047</v>
      </c>
      <c r="S42" s="424">
        <f>R42+Q42</f>
        <v>4004</v>
      </c>
      <c r="T42" s="515">
        <f>754.45+43886.18+24967.99</f>
        <v>69608.62</v>
      </c>
      <c r="U42" s="58"/>
      <c r="V42" s="505"/>
      <c r="W42" s="505"/>
      <c r="X42" s="505"/>
      <c r="Y42" s="507"/>
      <c r="Z42" s="58"/>
      <c r="AA42" s="505"/>
      <c r="AB42" s="505"/>
      <c r="AC42" s="516"/>
      <c r="AD42" s="387"/>
      <c r="AE42" s="424"/>
      <c r="AF42" s="388"/>
      <c r="AG42" s="383"/>
    </row>
    <row r="43" spans="2:35" x14ac:dyDescent="0.25">
      <c r="D43" s="40" t="s">
        <v>23</v>
      </c>
      <c r="E43" s="376">
        <v>30</v>
      </c>
      <c r="F43" s="57"/>
      <c r="G43" s="377"/>
      <c r="H43" s="377"/>
      <c r="I43" s="478"/>
      <c r="J43" s="485"/>
      <c r="K43" s="422"/>
      <c r="L43" s="422"/>
      <c r="M43" s="422"/>
      <c r="N43" s="66"/>
      <c r="O43" s="424">
        <v>106</v>
      </c>
      <c r="P43" s="512">
        <v>3378.64</v>
      </c>
      <c r="Q43" s="426">
        <v>1341</v>
      </c>
      <c r="R43" s="424">
        <v>1470</v>
      </c>
      <c r="S43" s="424">
        <f t="shared" ref="S43:S47" si="11">R43+Q43</f>
        <v>2811</v>
      </c>
      <c r="T43" s="516"/>
      <c r="U43" s="58"/>
      <c r="V43" s="504">
        <f>124+31</f>
        <v>155</v>
      </c>
      <c r="W43" s="504">
        <f>V43*29.86</f>
        <v>4628.3</v>
      </c>
      <c r="X43" s="504">
        <f>V43*36.38</f>
        <v>5638.9000000000005</v>
      </c>
      <c r="Y43" s="506">
        <f>X43+W43</f>
        <v>10267.200000000001</v>
      </c>
      <c r="Z43" s="58"/>
      <c r="AA43" s="504">
        <v>109640.01</v>
      </c>
      <c r="AB43" s="504">
        <v>10270.630999999999</v>
      </c>
      <c r="AC43" s="516"/>
      <c r="AD43" s="387"/>
      <c r="AE43" s="424"/>
      <c r="AF43" s="388"/>
      <c r="AG43" s="383"/>
    </row>
    <row r="44" spans="2:35" x14ac:dyDescent="0.25">
      <c r="D44" s="40" t="s">
        <v>24</v>
      </c>
      <c r="E44" s="376">
        <v>31</v>
      </c>
      <c r="F44" s="57"/>
      <c r="G44" s="377"/>
      <c r="H44" s="377"/>
      <c r="I44" s="478"/>
      <c r="J44" s="485"/>
      <c r="K44" s="422"/>
      <c r="L44" s="422"/>
      <c r="M44" s="422"/>
      <c r="N44" s="66"/>
      <c r="O44" s="424">
        <v>72</v>
      </c>
      <c r="P44" s="513"/>
      <c r="Q44" s="426">
        <v>830</v>
      </c>
      <c r="R44" s="424">
        <v>1132</v>
      </c>
      <c r="S44" s="424">
        <f t="shared" si="11"/>
        <v>1962</v>
      </c>
      <c r="T44" s="516"/>
      <c r="U44" s="58"/>
      <c r="V44" s="508"/>
      <c r="W44" s="508"/>
      <c r="X44" s="508"/>
      <c r="Y44" s="509"/>
      <c r="Z44" s="58"/>
      <c r="AA44" s="508"/>
      <c r="AB44" s="508"/>
      <c r="AC44" s="516"/>
      <c r="AD44" s="387"/>
      <c r="AE44" s="424"/>
      <c r="AF44" s="388"/>
      <c r="AG44" s="383"/>
    </row>
    <row r="45" spans="2:35" x14ac:dyDescent="0.25">
      <c r="D45" s="40" t="s">
        <v>25</v>
      </c>
      <c r="E45" s="376">
        <v>31</v>
      </c>
      <c r="F45" s="57"/>
      <c r="G45" s="377"/>
      <c r="H45" s="377"/>
      <c r="I45" s="478"/>
      <c r="J45" s="485"/>
      <c r="K45" s="422"/>
      <c r="L45" s="422"/>
      <c r="M45" s="422"/>
      <c r="N45" s="66"/>
      <c r="O45" s="424">
        <v>34</v>
      </c>
      <c r="P45" s="513"/>
      <c r="Q45" s="426">
        <v>581</v>
      </c>
      <c r="R45" s="424">
        <v>898</v>
      </c>
      <c r="S45" s="424">
        <f t="shared" si="11"/>
        <v>1479</v>
      </c>
      <c r="T45" s="516"/>
      <c r="U45" s="58"/>
      <c r="V45" s="508"/>
      <c r="W45" s="508"/>
      <c r="X45" s="508"/>
      <c r="Y45" s="509"/>
      <c r="Z45" s="58"/>
      <c r="AA45" s="508"/>
      <c r="AB45" s="508"/>
      <c r="AC45" s="516"/>
      <c r="AD45" s="387"/>
      <c r="AE45" s="424"/>
      <c r="AF45" s="388"/>
      <c r="AG45" s="383"/>
    </row>
    <row r="46" spans="2:35" x14ac:dyDescent="0.25">
      <c r="D46" s="40" t="s">
        <v>26</v>
      </c>
      <c r="E46" s="376">
        <v>30</v>
      </c>
      <c r="F46" s="57"/>
      <c r="G46" s="377"/>
      <c r="H46" s="377"/>
      <c r="I46" s="478"/>
      <c r="J46" s="485"/>
      <c r="K46" s="422"/>
      <c r="L46" s="422"/>
      <c r="M46" s="422"/>
      <c r="N46" s="66"/>
      <c r="O46" s="424">
        <v>30</v>
      </c>
      <c r="P46" s="513"/>
      <c r="Q46" s="426">
        <v>1800</v>
      </c>
      <c r="R46" s="424">
        <v>1684</v>
      </c>
      <c r="S46" s="424">
        <f t="shared" si="11"/>
        <v>3484</v>
      </c>
      <c r="T46" s="516"/>
      <c r="U46" s="58"/>
      <c r="V46" s="505"/>
      <c r="W46" s="505"/>
      <c r="X46" s="505"/>
      <c r="Y46" s="507"/>
      <c r="Z46" s="58"/>
      <c r="AA46" s="508"/>
      <c r="AB46" s="508"/>
      <c r="AC46" s="516"/>
      <c r="AD46" s="387"/>
      <c r="AE46" s="424"/>
      <c r="AF46" s="388"/>
      <c r="AG46" s="383"/>
    </row>
    <row r="47" spans="2:35" x14ac:dyDescent="0.25">
      <c r="D47" s="40" t="s">
        <v>27</v>
      </c>
      <c r="E47" s="376">
        <v>31</v>
      </c>
      <c r="F47" s="57"/>
      <c r="G47" s="377"/>
      <c r="H47" s="377"/>
      <c r="I47" s="478"/>
      <c r="J47" s="485"/>
      <c r="K47" s="422"/>
      <c r="L47" s="422"/>
      <c r="M47" s="422"/>
      <c r="N47" s="66"/>
      <c r="O47" s="424">
        <v>90</v>
      </c>
      <c r="P47" s="513"/>
      <c r="Q47" s="426">
        <v>2894</v>
      </c>
      <c r="R47" s="424">
        <v>2472</v>
      </c>
      <c r="S47" s="424">
        <f t="shared" si="11"/>
        <v>5366</v>
      </c>
      <c r="T47" s="516"/>
      <c r="U47" s="58"/>
      <c r="V47" s="504">
        <f>195.2+48.8</f>
        <v>244</v>
      </c>
      <c r="W47" s="504">
        <f>V47*29.86</f>
        <v>7285.84</v>
      </c>
      <c r="X47" s="504">
        <f>V47*36.38</f>
        <v>8876.7200000000012</v>
      </c>
      <c r="Y47" s="506">
        <f>X47+W47</f>
        <v>16162.560000000001</v>
      </c>
      <c r="Z47" s="58"/>
      <c r="AA47" s="508"/>
      <c r="AB47" s="508"/>
      <c r="AC47" s="516"/>
      <c r="AD47" s="387"/>
      <c r="AE47" s="424"/>
      <c r="AF47" s="388"/>
      <c r="AG47" s="383"/>
    </row>
    <row r="48" spans="2:35" x14ac:dyDescent="0.25">
      <c r="D48" s="40" t="s">
        <v>28</v>
      </c>
      <c r="E48" s="376">
        <v>30</v>
      </c>
      <c r="F48" s="57"/>
      <c r="G48" s="377"/>
      <c r="H48" s="377"/>
      <c r="I48" s="478"/>
      <c r="J48" s="485"/>
      <c r="K48" s="422"/>
      <c r="L48" s="422"/>
      <c r="M48" s="422"/>
      <c r="N48" s="66"/>
      <c r="O48" s="424">
        <v>125</v>
      </c>
      <c r="P48" s="513"/>
      <c r="Q48" s="510">
        <v>4261</v>
      </c>
      <c r="R48" s="504">
        <v>3292</v>
      </c>
      <c r="S48" s="504">
        <f>R48+Q48</f>
        <v>7553</v>
      </c>
      <c r="T48" s="516"/>
      <c r="U48" s="58"/>
      <c r="V48" s="508"/>
      <c r="W48" s="508"/>
      <c r="X48" s="508"/>
      <c r="Y48" s="509"/>
      <c r="Z48" s="58"/>
      <c r="AA48" s="508"/>
      <c r="AB48" s="508"/>
      <c r="AC48" s="516"/>
      <c r="AD48" s="387"/>
      <c r="AE48" s="424"/>
      <c r="AF48" s="388"/>
      <c r="AG48" s="383"/>
    </row>
    <row r="49" spans="2:33" x14ac:dyDescent="0.25">
      <c r="D49" s="40" t="s">
        <v>29</v>
      </c>
      <c r="E49" s="376">
        <v>31</v>
      </c>
      <c r="F49" s="57"/>
      <c r="G49" s="377"/>
      <c r="H49" s="377"/>
      <c r="I49" s="478"/>
      <c r="J49" s="485"/>
      <c r="K49" s="422"/>
      <c r="L49" s="422"/>
      <c r="M49" s="422"/>
      <c r="N49" s="66"/>
      <c r="O49" s="424">
        <v>116</v>
      </c>
      <c r="P49" s="514"/>
      <c r="Q49" s="511"/>
      <c r="R49" s="505"/>
      <c r="S49" s="505"/>
      <c r="T49" s="517"/>
      <c r="U49" s="41"/>
      <c r="V49" s="505"/>
      <c r="W49" s="505"/>
      <c r="X49" s="505"/>
      <c r="Y49" s="507"/>
      <c r="Z49" s="58"/>
      <c r="AA49" s="505"/>
      <c r="AB49" s="505"/>
      <c r="AC49" s="517"/>
      <c r="AD49" s="387"/>
      <c r="AE49" s="424"/>
      <c r="AF49" s="388"/>
      <c r="AG49" s="383"/>
    </row>
    <row r="50" spans="2:33" x14ac:dyDescent="0.25">
      <c r="B50" s="43"/>
      <c r="C50" s="43"/>
      <c r="D50" s="44"/>
      <c r="E50" s="60"/>
      <c r="F50" s="60"/>
      <c r="G50" s="45">
        <f>SUM(G38:G49)</f>
        <v>0</v>
      </c>
      <c r="H50" s="45">
        <f t="shared" ref="H50:M50" si="12">SUM(H38:H49)</f>
        <v>0</v>
      </c>
      <c r="I50" s="45">
        <f t="shared" si="12"/>
        <v>0</v>
      </c>
      <c r="J50" s="45">
        <f t="shared" si="12"/>
        <v>0</v>
      </c>
      <c r="K50" s="45">
        <f t="shared" si="12"/>
        <v>0</v>
      </c>
      <c r="L50" s="45">
        <f t="shared" si="12"/>
        <v>0</v>
      </c>
      <c r="M50" s="45">
        <f t="shared" si="12"/>
        <v>0</v>
      </c>
      <c r="N50" s="45"/>
      <c r="O50" s="390">
        <f t="shared" ref="O50:T50" si="13">SUM(O38:O49)</f>
        <v>944</v>
      </c>
      <c r="P50" s="391">
        <f t="shared" si="13"/>
        <v>5372.46</v>
      </c>
      <c r="Q50" s="427">
        <f t="shared" si="13"/>
        <v>23710</v>
      </c>
      <c r="R50" s="468">
        <f t="shared" si="13"/>
        <v>21557</v>
      </c>
      <c r="S50" s="468">
        <f t="shared" si="13"/>
        <v>45267</v>
      </c>
      <c r="T50" s="394">
        <f t="shared" si="13"/>
        <v>118355.09</v>
      </c>
      <c r="U50" s="45"/>
      <c r="V50" s="45">
        <f t="shared" ref="V50" si="14">SUM(V38:V49)</f>
        <v>732</v>
      </c>
      <c r="W50" s="45"/>
      <c r="X50" s="45"/>
      <c r="Y50" s="45">
        <f t="shared" ref="Y50" si="15">SUM(Y38:Y49)</f>
        <v>48487.680000000008</v>
      </c>
      <c r="Z50" s="46"/>
      <c r="AA50" s="45">
        <f>SUM(AA38:AA49)</f>
        <v>295356.13</v>
      </c>
      <c r="AB50" s="45">
        <f>SUM(AB38:AB49)</f>
        <v>27645.811000000002</v>
      </c>
      <c r="AC50" s="391">
        <f>SUM(AC38:AC49)</f>
        <v>235633.66</v>
      </c>
      <c r="AD50" s="395">
        <f>SUM(AD38:AD49)</f>
        <v>0</v>
      </c>
      <c r="AE50" s="46"/>
      <c r="AF50" s="46">
        <f>SUM(AF38:AF49)</f>
        <v>0</v>
      </c>
      <c r="AG50" s="394">
        <f t="shared" ref="AG50" si="16">SUM(AG38:AG49)</f>
        <v>0</v>
      </c>
    </row>
    <row r="51" spans="2:33" ht="15.75" x14ac:dyDescent="0.25">
      <c r="B51" s="396"/>
      <c r="C51" s="397"/>
      <c r="D51" s="398" t="s">
        <v>34</v>
      </c>
      <c r="G51" s="48">
        <v>0.15</v>
      </c>
      <c r="H51" s="49">
        <f>H50*(1+G51)</f>
        <v>0</v>
      </c>
      <c r="I51" s="49"/>
      <c r="J51" s="49">
        <f>J50*(1+G51)</f>
        <v>0</v>
      </c>
      <c r="K51" s="50"/>
      <c r="L51" s="51"/>
      <c r="M51" s="49">
        <f>M50*(1+G51)</f>
        <v>0</v>
      </c>
      <c r="N51" s="42"/>
      <c r="O51" s="400">
        <v>0.21</v>
      </c>
      <c r="P51" s="401">
        <f>P50*(1+O51)</f>
        <v>6500.6765999999998</v>
      </c>
      <c r="Q51" s="402">
        <v>0.21</v>
      </c>
      <c r="R51" s="400"/>
      <c r="S51" s="400"/>
      <c r="T51" s="401">
        <f>T50*(1+Q51)</f>
        <v>143209.65889999998</v>
      </c>
      <c r="U51" s="42"/>
      <c r="V51" s="48">
        <v>0.15</v>
      </c>
      <c r="W51" s="48"/>
      <c r="X51" s="48"/>
      <c r="Y51" s="49">
        <f>Y50*(1+V51)</f>
        <v>55760.832000000002</v>
      </c>
      <c r="Z51" s="42"/>
      <c r="AA51" s="48">
        <v>0.21</v>
      </c>
      <c r="AB51" s="42"/>
      <c r="AC51" s="401">
        <f>AC50*(1+AA51)</f>
        <v>285116.72859999997</v>
      </c>
      <c r="AD51" s="403">
        <v>0.21</v>
      </c>
      <c r="AE51" s="48"/>
      <c r="AF51" s="42"/>
      <c r="AG51" s="401">
        <f>AG50*(1+AD51)</f>
        <v>0</v>
      </c>
    </row>
    <row r="52" spans="2:33" ht="15.75" x14ac:dyDescent="0.25">
      <c r="B52" s="396"/>
      <c r="C52" s="397"/>
      <c r="D52" s="398"/>
      <c r="G52" s="404"/>
      <c r="H52" s="405"/>
      <c r="I52" s="405"/>
      <c r="J52" s="405"/>
      <c r="K52" s="406"/>
      <c r="L52" s="54"/>
      <c r="M52" s="405"/>
      <c r="N52" s="411"/>
      <c r="O52" s="407"/>
      <c r="P52" s="408"/>
      <c r="Q52" s="409"/>
      <c r="R52" s="407"/>
      <c r="S52" s="407"/>
      <c r="T52" s="488"/>
      <c r="U52" s="411"/>
      <c r="V52" s="404"/>
      <c r="W52" s="404"/>
      <c r="X52" s="404"/>
      <c r="Y52" s="405"/>
      <c r="Z52" s="411"/>
      <c r="AA52" s="404"/>
      <c r="AB52" s="411"/>
      <c r="AC52" s="408"/>
      <c r="AD52" s="412"/>
      <c r="AE52" s="404"/>
      <c r="AF52" s="411"/>
      <c r="AG52" s="408"/>
    </row>
    <row r="53" spans="2:33" ht="15.75" hidden="1" customHeight="1" outlineLevel="1" x14ac:dyDescent="0.25">
      <c r="B53" s="396"/>
      <c r="C53" s="397"/>
      <c r="D53" s="398"/>
      <c r="G53" s="404"/>
      <c r="H53" s="405"/>
      <c r="I53" s="405"/>
      <c r="J53" s="405"/>
      <c r="K53" s="406"/>
      <c r="L53" s="54"/>
      <c r="M53" s="405"/>
      <c r="N53" s="411"/>
      <c r="O53" s="407"/>
      <c r="P53" s="408"/>
      <c r="Q53" s="409"/>
      <c r="R53" s="407"/>
      <c r="S53" s="407"/>
      <c r="T53" s="408"/>
      <c r="U53" s="411"/>
      <c r="V53" s="404"/>
      <c r="W53" s="404"/>
      <c r="X53" s="404"/>
      <c r="Y53" s="405"/>
      <c r="Z53" s="411"/>
      <c r="AA53" s="404"/>
      <c r="AB53" s="411"/>
      <c r="AC53" s="408"/>
      <c r="AD53" s="412"/>
      <c r="AE53" s="404"/>
      <c r="AF53" s="411"/>
      <c r="AG53" s="408"/>
    </row>
    <row r="54" spans="2:33" ht="15.75" hidden="1" customHeight="1" outlineLevel="1" x14ac:dyDescent="0.25">
      <c r="B54" s="47">
        <f>B38+1</f>
        <v>2018</v>
      </c>
      <c r="D54" s="40" t="s">
        <v>18</v>
      </c>
      <c r="E54" s="376">
        <v>31</v>
      </c>
      <c r="F54" s="57"/>
      <c r="G54" s="377"/>
      <c r="H54" s="377"/>
      <c r="I54" s="377"/>
      <c r="J54" s="377"/>
      <c r="K54" s="422"/>
      <c r="L54" s="422"/>
      <c r="M54" s="422"/>
      <c r="N54" s="66"/>
      <c r="O54" s="424"/>
      <c r="P54" s="436"/>
      <c r="Q54" s="426">
        <v>3018</v>
      </c>
      <c r="R54" s="437">
        <v>2439</v>
      </c>
      <c r="S54" s="424">
        <f t="shared" ref="S54:S55" si="17">R54+Q54</f>
        <v>5457</v>
      </c>
      <c r="T54" s="515">
        <f>16052.34+29308.28+480.25</f>
        <v>45840.869999999995</v>
      </c>
      <c r="U54" s="58"/>
      <c r="V54" s="388"/>
      <c r="W54" s="388"/>
      <c r="X54" s="388"/>
      <c r="Y54" s="471"/>
      <c r="Z54" s="59"/>
      <c r="AA54" s="388"/>
      <c r="AB54" s="388"/>
      <c r="AC54" s="383"/>
      <c r="AD54" s="387"/>
      <c r="AE54" s="424"/>
      <c r="AF54" s="388"/>
      <c r="AG54" s="430"/>
    </row>
    <row r="55" spans="2:33" ht="15" hidden="1" customHeight="1" outlineLevel="1" x14ac:dyDescent="0.25">
      <c r="D55" s="40" t="s">
        <v>19</v>
      </c>
      <c r="E55" s="376">
        <v>28</v>
      </c>
      <c r="F55" s="57"/>
      <c r="G55" s="377"/>
      <c r="H55" s="377"/>
      <c r="I55" s="377"/>
      <c r="J55" s="377"/>
      <c r="K55" s="422"/>
      <c r="L55" s="422"/>
      <c r="M55" s="422"/>
      <c r="N55" s="66"/>
      <c r="O55" s="424"/>
      <c r="P55" s="436"/>
      <c r="Q55" s="426">
        <v>2326</v>
      </c>
      <c r="R55" s="437">
        <v>1767</v>
      </c>
      <c r="S55" s="424">
        <f t="shared" si="17"/>
        <v>4093</v>
      </c>
      <c r="T55" s="516"/>
      <c r="U55" s="58"/>
      <c r="V55" s="388"/>
      <c r="W55" s="388"/>
      <c r="X55" s="388"/>
      <c r="Y55" s="471"/>
      <c r="Z55" s="58"/>
      <c r="AA55" s="388"/>
      <c r="AB55" s="388"/>
      <c r="AC55" s="383"/>
      <c r="AD55" s="387"/>
      <c r="AE55" s="424"/>
      <c r="AF55" s="388"/>
      <c r="AG55" s="430"/>
    </row>
    <row r="56" spans="2:33" ht="15" hidden="1" customHeight="1" outlineLevel="1" x14ac:dyDescent="0.25">
      <c r="D56" s="40" t="s">
        <v>20</v>
      </c>
      <c r="E56" s="376">
        <v>31</v>
      </c>
      <c r="F56" s="57"/>
      <c r="G56" s="377"/>
      <c r="H56" s="377"/>
      <c r="I56" s="377"/>
      <c r="J56" s="377"/>
      <c r="K56" s="422"/>
      <c r="L56" s="422"/>
      <c r="M56" s="422"/>
      <c r="N56" s="66"/>
      <c r="O56" s="424"/>
      <c r="P56" s="436"/>
      <c r="Q56" s="510">
        <v>3944</v>
      </c>
      <c r="R56" s="504">
        <v>3476</v>
      </c>
      <c r="S56" s="504">
        <f>R56+Q56</f>
        <v>7420</v>
      </c>
      <c r="T56" s="516"/>
      <c r="U56" s="58"/>
      <c r="V56" s="388"/>
      <c r="W56" s="388"/>
      <c r="X56" s="388"/>
      <c r="Y56" s="471"/>
      <c r="Z56" s="58"/>
      <c r="AA56" s="388"/>
      <c r="AB56" s="388"/>
      <c r="AC56" s="383"/>
      <c r="AD56" s="431"/>
      <c r="AE56" s="432"/>
      <c r="AF56" s="388"/>
      <c r="AG56" s="430"/>
    </row>
    <row r="57" spans="2:33" ht="15" hidden="1" customHeight="1" outlineLevel="1" x14ac:dyDescent="0.25">
      <c r="D57" s="40" t="s">
        <v>21</v>
      </c>
      <c r="E57" s="376">
        <v>30</v>
      </c>
      <c r="F57" s="57"/>
      <c r="G57" s="377"/>
      <c r="H57" s="377"/>
      <c r="I57" s="377"/>
      <c r="J57" s="377"/>
      <c r="K57" s="422"/>
      <c r="L57" s="422"/>
      <c r="M57" s="422"/>
      <c r="N57" s="66"/>
      <c r="O57" s="424"/>
      <c r="P57" s="436"/>
      <c r="Q57" s="511"/>
      <c r="R57" s="505"/>
      <c r="S57" s="505"/>
      <c r="T57" s="517"/>
      <c r="U57" s="58"/>
      <c r="V57" s="388"/>
      <c r="W57" s="388"/>
      <c r="X57" s="388"/>
      <c r="Y57" s="471"/>
      <c r="Z57" s="58"/>
      <c r="AA57" s="433"/>
      <c r="AB57" s="433"/>
      <c r="AC57" s="430"/>
      <c r="AD57" s="387"/>
      <c r="AE57" s="388"/>
      <c r="AF57" s="388"/>
      <c r="AG57" s="430"/>
    </row>
    <row r="58" spans="2:33" ht="15" hidden="1" customHeight="1" outlineLevel="1" x14ac:dyDescent="0.25">
      <c r="D58" s="40" t="s">
        <v>22</v>
      </c>
      <c r="E58" s="376">
        <v>31</v>
      </c>
      <c r="F58" s="57"/>
      <c r="G58" s="377"/>
      <c r="H58" s="377"/>
      <c r="I58" s="377"/>
      <c r="J58" s="377"/>
      <c r="K58" s="422"/>
      <c r="L58" s="422"/>
      <c r="M58" s="422"/>
      <c r="N58" s="66"/>
      <c r="O58" s="424"/>
      <c r="P58" s="436"/>
      <c r="Q58" s="426"/>
      <c r="R58" s="437"/>
      <c r="S58" s="437"/>
      <c r="T58" s="430"/>
      <c r="U58" s="58"/>
      <c r="V58" s="388"/>
      <c r="W58" s="388"/>
      <c r="X58" s="388"/>
      <c r="Y58" s="471"/>
      <c r="Z58" s="58"/>
      <c r="AA58" s="388"/>
      <c r="AB58" s="388"/>
      <c r="AC58" s="430"/>
      <c r="AD58" s="387"/>
      <c r="AE58" s="388"/>
      <c r="AF58" s="388"/>
      <c r="AG58" s="430"/>
    </row>
    <row r="59" spans="2:33" ht="15" hidden="1" customHeight="1" outlineLevel="1" x14ac:dyDescent="0.25">
      <c r="D59" s="40" t="s">
        <v>23</v>
      </c>
      <c r="E59" s="376">
        <v>30</v>
      </c>
      <c r="F59" s="57"/>
      <c r="G59" s="377"/>
      <c r="H59" s="377"/>
      <c r="I59" s="377"/>
      <c r="J59" s="377"/>
      <c r="K59" s="422"/>
      <c r="L59" s="422"/>
      <c r="M59" s="422"/>
      <c r="N59" s="66"/>
      <c r="O59" s="424"/>
      <c r="P59" s="436"/>
      <c r="Q59" s="426"/>
      <c r="R59" s="437"/>
      <c r="S59" s="437"/>
      <c r="T59" s="430"/>
      <c r="U59" s="58"/>
      <c r="V59" s="388"/>
      <c r="W59" s="388"/>
      <c r="X59" s="388"/>
      <c r="Y59" s="471"/>
      <c r="Z59" s="58"/>
      <c r="AA59" s="388"/>
      <c r="AB59" s="388"/>
      <c r="AC59" s="430"/>
      <c r="AD59" s="387"/>
      <c r="AE59" s="388"/>
      <c r="AF59" s="388"/>
      <c r="AG59" s="430"/>
    </row>
    <row r="60" spans="2:33" ht="15" hidden="1" customHeight="1" outlineLevel="1" x14ac:dyDescent="0.25">
      <c r="D60" s="40" t="s">
        <v>24</v>
      </c>
      <c r="E60" s="376">
        <v>31</v>
      </c>
      <c r="F60" s="57"/>
      <c r="G60" s="377"/>
      <c r="H60" s="377"/>
      <c r="I60" s="377"/>
      <c r="J60" s="377"/>
      <c r="K60" s="422"/>
      <c r="L60" s="422"/>
      <c r="M60" s="422"/>
      <c r="N60" s="66"/>
      <c r="O60" s="424"/>
      <c r="P60" s="436"/>
      <c r="Q60" s="426"/>
      <c r="R60" s="437"/>
      <c r="S60" s="437"/>
      <c r="T60" s="430"/>
      <c r="U60" s="58"/>
      <c r="V60" s="388"/>
      <c r="W60" s="388"/>
      <c r="X60" s="388"/>
      <c r="Y60" s="471"/>
      <c r="Z60" s="58"/>
      <c r="AA60" s="388"/>
      <c r="AB60" s="388"/>
      <c r="AC60" s="430"/>
      <c r="AD60" s="387"/>
      <c r="AE60" s="388"/>
      <c r="AF60" s="388"/>
      <c r="AG60" s="430"/>
    </row>
    <row r="61" spans="2:33" ht="15" hidden="1" customHeight="1" outlineLevel="1" x14ac:dyDescent="0.25">
      <c r="D61" s="40" t="s">
        <v>25</v>
      </c>
      <c r="E61" s="376">
        <v>31</v>
      </c>
      <c r="F61" s="57"/>
      <c r="G61" s="377"/>
      <c r="H61" s="377"/>
      <c r="I61" s="377"/>
      <c r="J61" s="377"/>
      <c r="K61" s="422"/>
      <c r="L61" s="422"/>
      <c r="M61" s="422"/>
      <c r="N61" s="66"/>
      <c r="O61" s="424"/>
      <c r="P61" s="436"/>
      <c r="Q61" s="426"/>
      <c r="R61" s="437"/>
      <c r="S61" s="437"/>
      <c r="T61" s="430"/>
      <c r="U61" s="58"/>
      <c r="V61" s="388"/>
      <c r="W61" s="388"/>
      <c r="X61" s="388"/>
      <c r="Y61" s="471"/>
      <c r="Z61" s="58"/>
      <c r="AA61" s="388"/>
      <c r="AB61" s="388"/>
      <c r="AC61" s="430"/>
      <c r="AD61" s="387"/>
      <c r="AE61" s="388"/>
      <c r="AF61" s="388"/>
      <c r="AG61" s="430"/>
    </row>
    <row r="62" spans="2:33" ht="15" hidden="1" customHeight="1" outlineLevel="1" x14ac:dyDescent="0.25">
      <c r="D62" s="40" t="s">
        <v>26</v>
      </c>
      <c r="E62" s="376">
        <v>30</v>
      </c>
      <c r="F62" s="57"/>
      <c r="G62" s="377"/>
      <c r="H62" s="377"/>
      <c r="I62" s="377"/>
      <c r="J62" s="377"/>
      <c r="K62" s="422"/>
      <c r="L62" s="422"/>
      <c r="M62" s="422"/>
      <c r="N62" s="66"/>
      <c r="O62" s="424"/>
      <c r="P62" s="436"/>
      <c r="Q62" s="426"/>
      <c r="R62" s="437"/>
      <c r="S62" s="437"/>
      <c r="T62" s="430"/>
      <c r="U62" s="58"/>
      <c r="V62" s="388"/>
      <c r="W62" s="388"/>
      <c r="X62" s="388"/>
      <c r="Y62" s="471"/>
      <c r="Z62" s="58"/>
      <c r="AA62" s="388"/>
      <c r="AB62" s="388"/>
      <c r="AC62" s="430"/>
      <c r="AD62" s="387"/>
      <c r="AE62" s="388"/>
      <c r="AF62" s="388"/>
      <c r="AG62" s="430"/>
    </row>
    <row r="63" spans="2:33" ht="15" hidden="1" customHeight="1" outlineLevel="1" x14ac:dyDescent="0.25">
      <c r="D63" s="40" t="s">
        <v>27</v>
      </c>
      <c r="E63" s="376">
        <v>31</v>
      </c>
      <c r="F63" s="57"/>
      <c r="G63" s="377"/>
      <c r="H63" s="377"/>
      <c r="I63" s="377"/>
      <c r="J63" s="377"/>
      <c r="K63" s="422"/>
      <c r="L63" s="422"/>
      <c r="M63" s="422"/>
      <c r="N63" s="66"/>
      <c r="O63" s="424"/>
      <c r="P63" s="436"/>
      <c r="Q63" s="426"/>
      <c r="R63" s="437"/>
      <c r="S63" s="437"/>
      <c r="T63" s="430"/>
      <c r="U63" s="58"/>
      <c r="V63" s="388"/>
      <c r="W63" s="388"/>
      <c r="X63" s="388"/>
      <c r="Y63" s="471"/>
      <c r="Z63" s="58"/>
      <c r="AA63" s="388"/>
      <c r="AB63" s="388"/>
      <c r="AC63" s="430"/>
      <c r="AD63" s="387"/>
      <c r="AE63" s="388"/>
      <c r="AF63" s="388"/>
      <c r="AG63" s="430"/>
    </row>
    <row r="64" spans="2:33" ht="15" hidden="1" customHeight="1" outlineLevel="1" x14ac:dyDescent="0.25">
      <c r="D64" s="40" t="s">
        <v>28</v>
      </c>
      <c r="E64" s="376">
        <v>30</v>
      </c>
      <c r="F64" s="57"/>
      <c r="G64" s="377"/>
      <c r="H64" s="377"/>
      <c r="I64" s="377"/>
      <c r="J64" s="377"/>
      <c r="K64" s="422"/>
      <c r="L64" s="422"/>
      <c r="M64" s="422"/>
      <c r="N64" s="66"/>
      <c r="O64" s="424"/>
      <c r="P64" s="436"/>
      <c r="Q64" s="426"/>
      <c r="R64" s="437"/>
      <c r="S64" s="437"/>
      <c r="T64" s="430"/>
      <c r="U64" s="58"/>
      <c r="V64" s="388"/>
      <c r="W64" s="388"/>
      <c r="X64" s="388"/>
      <c r="Y64" s="471"/>
      <c r="Z64" s="58"/>
      <c r="AA64" s="388"/>
      <c r="AB64" s="388"/>
      <c r="AC64" s="430"/>
      <c r="AD64" s="387"/>
      <c r="AE64" s="388"/>
      <c r="AF64" s="388"/>
      <c r="AG64" s="430"/>
    </row>
    <row r="65" spans="1:33" ht="15" hidden="1" customHeight="1" outlineLevel="1" x14ac:dyDescent="0.25">
      <c r="D65" s="40" t="s">
        <v>29</v>
      </c>
      <c r="E65" s="376">
        <v>31</v>
      </c>
      <c r="F65" s="57"/>
      <c r="G65" s="377"/>
      <c r="H65" s="377"/>
      <c r="I65" s="377"/>
      <c r="J65" s="377"/>
      <c r="K65" s="422"/>
      <c r="L65" s="422"/>
      <c r="M65" s="422"/>
      <c r="N65" s="66"/>
      <c r="O65" s="424"/>
      <c r="P65" s="436"/>
      <c r="Q65" s="426"/>
      <c r="R65" s="437"/>
      <c r="S65" s="437"/>
      <c r="T65" s="430"/>
      <c r="U65" s="41"/>
      <c r="V65" s="388"/>
      <c r="W65" s="388"/>
      <c r="X65" s="388"/>
      <c r="Y65" s="471"/>
      <c r="Z65" s="58"/>
      <c r="AA65" s="388"/>
      <c r="AB65" s="388"/>
      <c r="AC65" s="430"/>
      <c r="AD65" s="387"/>
      <c r="AE65" s="388"/>
      <c r="AF65" s="388"/>
      <c r="AG65" s="430"/>
    </row>
    <row r="66" spans="1:33" ht="15" hidden="1" customHeight="1" outlineLevel="1" x14ac:dyDescent="0.25">
      <c r="B66" s="43"/>
      <c r="C66" s="43"/>
      <c r="D66" s="44"/>
      <c r="E66" s="60"/>
      <c r="F66" s="60"/>
      <c r="G66" s="45">
        <f>SUM(G54:G65)</f>
        <v>0</v>
      </c>
      <c r="H66" s="45">
        <f t="shared" ref="H66:M66" si="18">SUM(H54:H65)</f>
        <v>0</v>
      </c>
      <c r="I66" s="45">
        <f t="shared" si="18"/>
        <v>0</v>
      </c>
      <c r="J66" s="45">
        <f t="shared" si="18"/>
        <v>0</v>
      </c>
      <c r="K66" s="45">
        <f t="shared" si="18"/>
        <v>0</v>
      </c>
      <c r="L66" s="45">
        <f t="shared" si="18"/>
        <v>0</v>
      </c>
      <c r="M66" s="45">
        <f t="shared" si="18"/>
        <v>0</v>
      </c>
      <c r="N66" s="45"/>
      <c r="O66" s="390">
        <f>SUM(O54:O65)</f>
        <v>0</v>
      </c>
      <c r="P66" s="391">
        <f>SUM(P54:P65)</f>
        <v>0</v>
      </c>
      <c r="Q66" s="390">
        <f>SUM(Q54:Q65)</f>
        <v>9288</v>
      </c>
      <c r="R66" s="438">
        <f>SUM(R54:R65)</f>
        <v>7682</v>
      </c>
      <c r="S66" s="438"/>
      <c r="T66" s="394">
        <f>SUM(T54:T65)</f>
        <v>45840.869999999995</v>
      </c>
      <c r="U66" s="45"/>
      <c r="V66" s="45">
        <f t="shared" ref="V66" si="19">SUM(V54:V65)</f>
        <v>0</v>
      </c>
      <c r="W66" s="45"/>
      <c r="X66" s="45"/>
      <c r="Y66" s="45">
        <f t="shared" ref="Y66" si="20">SUM(Y54:Y65)</f>
        <v>0</v>
      </c>
      <c r="Z66" s="46"/>
      <c r="AA66" s="45"/>
      <c r="AB66" s="45">
        <f>SUM(AB54:AB65)</f>
        <v>0</v>
      </c>
      <c r="AC66" s="391">
        <f t="shared" ref="AC66" si="21">SUM(AC54:AC65)</f>
        <v>0</v>
      </c>
      <c r="AD66" s="45"/>
      <c r="AE66" s="45">
        <f>SUM(AE54:AE65)</f>
        <v>0</v>
      </c>
      <c r="AF66" s="45">
        <f>SUM(AF54:AF65)</f>
        <v>0</v>
      </c>
      <c r="AG66" s="391">
        <f t="shared" ref="AG66" si="22">SUM(AG54:AG65)</f>
        <v>0</v>
      </c>
    </row>
    <row r="67" spans="1:33" ht="15.75" hidden="1" customHeight="1" outlineLevel="1" x14ac:dyDescent="0.25">
      <c r="B67" s="396"/>
      <c r="C67" s="397"/>
      <c r="D67" s="398" t="s">
        <v>34</v>
      </c>
      <c r="G67" s="48">
        <v>0.15</v>
      </c>
      <c r="H67" s="49">
        <f>H66*(1+G67)</f>
        <v>0</v>
      </c>
      <c r="I67" s="49"/>
      <c r="J67" s="49">
        <f>J66*(1+G67)</f>
        <v>0</v>
      </c>
      <c r="K67" s="50"/>
      <c r="L67" s="51"/>
      <c r="M67" s="49">
        <f>M66*(1+G67)</f>
        <v>0</v>
      </c>
      <c r="N67" s="42"/>
      <c r="O67" s="400">
        <v>0.21</v>
      </c>
      <c r="P67" s="401">
        <f>P66*(1+O67)</f>
        <v>0</v>
      </c>
      <c r="Q67" s="400">
        <v>0.21</v>
      </c>
      <c r="R67" s="400"/>
      <c r="S67" s="400"/>
      <c r="T67" s="401">
        <f>T66*(1+Q67)</f>
        <v>55467.452699999994</v>
      </c>
      <c r="U67" s="42"/>
      <c r="V67" s="48">
        <v>0.15</v>
      </c>
      <c r="W67" s="48"/>
      <c r="X67" s="48"/>
      <c r="Y67" s="49">
        <f>Y66*(1+V67)</f>
        <v>0</v>
      </c>
      <c r="Z67" s="42"/>
      <c r="AA67" s="48">
        <v>0.21</v>
      </c>
      <c r="AB67" s="42"/>
      <c r="AC67" s="401">
        <f>AC66*(1+AA67)</f>
        <v>0</v>
      </c>
      <c r="AD67" s="48">
        <v>0.21</v>
      </c>
      <c r="AE67" s="48"/>
      <c r="AF67" s="42"/>
      <c r="AG67" s="401">
        <f>AG66*(1+AD67)</f>
        <v>0</v>
      </c>
    </row>
    <row r="68" spans="1:33" collapsed="1" x14ac:dyDescent="0.25">
      <c r="T68" s="363"/>
    </row>
    <row r="69" spans="1:33" x14ac:dyDescent="0.25">
      <c r="B69" s="33" t="s">
        <v>35</v>
      </c>
      <c r="I69" s="32" t="s">
        <v>195</v>
      </c>
      <c r="O69" s="439" t="s">
        <v>196</v>
      </c>
      <c r="P69" s="362" t="s">
        <v>247</v>
      </c>
      <c r="Q69" s="439" t="s">
        <v>196</v>
      </c>
      <c r="R69" s="32"/>
      <c r="T69" s="362" t="s">
        <v>248</v>
      </c>
      <c r="U69" s="67"/>
      <c r="V69" s="35"/>
      <c r="W69" s="35"/>
      <c r="X69" s="35"/>
      <c r="Y69" s="35"/>
      <c r="Z69" s="67"/>
      <c r="AA69" s="35"/>
      <c r="AB69" s="35"/>
      <c r="AC69" s="440"/>
      <c r="AD69" s="35"/>
      <c r="AE69" s="35"/>
      <c r="AF69" s="35"/>
      <c r="AG69" s="440"/>
    </row>
    <row r="70" spans="1:33" x14ac:dyDescent="0.25">
      <c r="B70" s="68"/>
      <c r="O70" s="439" t="s">
        <v>199</v>
      </c>
      <c r="P70" s="362" t="s">
        <v>249</v>
      </c>
      <c r="Q70" s="439" t="s">
        <v>199</v>
      </c>
      <c r="R70" s="32"/>
      <c r="T70" s="362" t="s">
        <v>250</v>
      </c>
      <c r="V70" s="32" t="s">
        <v>202</v>
      </c>
      <c r="Y70" s="32" t="s">
        <v>251</v>
      </c>
      <c r="AA70" s="32" t="s">
        <v>204</v>
      </c>
      <c r="AC70" s="441" t="s">
        <v>252</v>
      </c>
      <c r="AD70" s="32" t="s">
        <v>204</v>
      </c>
    </row>
    <row r="71" spans="1:33" x14ac:dyDescent="0.25">
      <c r="B71" s="68"/>
      <c r="V71" s="32" t="s">
        <v>206</v>
      </c>
      <c r="Y71" s="439" t="s">
        <v>253</v>
      </c>
      <c r="AC71" s="442" t="s">
        <v>254</v>
      </c>
    </row>
    <row r="72" spans="1:33" x14ac:dyDescent="0.25">
      <c r="B72" s="68"/>
      <c r="P72" s="502"/>
      <c r="T72" s="502"/>
    </row>
    <row r="73" spans="1:33" x14ac:dyDescent="0.25">
      <c r="A73" s="68"/>
      <c r="B73" s="68"/>
      <c r="Q73" s="489"/>
      <c r="R73" s="490"/>
    </row>
    <row r="74" spans="1:33" x14ac:dyDescent="0.25">
      <c r="B74" s="68"/>
    </row>
    <row r="75" spans="1:33" x14ac:dyDescent="0.25">
      <c r="B75" s="69"/>
    </row>
    <row r="76" spans="1:33" x14ac:dyDescent="0.25">
      <c r="B76" s="69"/>
    </row>
    <row r="77" spans="1:33" x14ac:dyDescent="0.25">
      <c r="B77" s="69"/>
    </row>
    <row r="78" spans="1:33" x14ac:dyDescent="0.25">
      <c r="B78" s="69"/>
    </row>
    <row r="79" spans="1:33" x14ac:dyDescent="0.25">
      <c r="B79" s="69"/>
    </row>
  </sheetData>
  <mergeCells count="124">
    <mergeCell ref="AD2:AG2"/>
    <mergeCell ref="G3:H3"/>
    <mergeCell ref="I3:J3"/>
    <mergeCell ref="K3:M3"/>
    <mergeCell ref="O3:P3"/>
    <mergeCell ref="Q3:T3"/>
    <mergeCell ref="V3:Y3"/>
    <mergeCell ref="AA3:AC3"/>
    <mergeCell ref="AD3:AG3"/>
    <mergeCell ref="G2:M2"/>
    <mergeCell ref="O2:P2"/>
    <mergeCell ref="Q2:T2"/>
    <mergeCell ref="V2:Y2"/>
    <mergeCell ref="AA2:AC2"/>
    <mergeCell ref="T6:T9"/>
    <mergeCell ref="V6:V7"/>
    <mergeCell ref="W6:W7"/>
    <mergeCell ref="X6:X7"/>
    <mergeCell ref="Y6:Y7"/>
    <mergeCell ref="AA6:AA8"/>
    <mergeCell ref="B4:C5"/>
    <mergeCell ref="O6:O9"/>
    <mergeCell ref="P6:P9"/>
    <mergeCell ref="Q6:Q9"/>
    <mergeCell ref="R6:R9"/>
    <mergeCell ref="S6:S9"/>
    <mergeCell ref="D2:D4"/>
    <mergeCell ref="AB6:AB8"/>
    <mergeCell ref="AC6:AC8"/>
    <mergeCell ref="V8:V10"/>
    <mergeCell ref="W8:W10"/>
    <mergeCell ref="X8:X10"/>
    <mergeCell ref="Y8:Y10"/>
    <mergeCell ref="AA9:AA16"/>
    <mergeCell ref="AB9:AB16"/>
    <mergeCell ref="AC9:AC16"/>
    <mergeCell ref="V11:V14"/>
    <mergeCell ref="W11:W14"/>
    <mergeCell ref="X11:X14"/>
    <mergeCell ref="Y11:Y14"/>
    <mergeCell ref="V15:V17"/>
    <mergeCell ref="W15:W17"/>
    <mergeCell ref="X15:X17"/>
    <mergeCell ref="Y15:Y17"/>
    <mergeCell ref="O10:O17"/>
    <mergeCell ref="P10:P17"/>
    <mergeCell ref="Q10:Q17"/>
    <mergeCell ref="R10:R17"/>
    <mergeCell ref="S10:S17"/>
    <mergeCell ref="T10:T17"/>
    <mergeCell ref="O22:O26"/>
    <mergeCell ref="P22:P26"/>
    <mergeCell ref="Q22:Q25"/>
    <mergeCell ref="R22:R25"/>
    <mergeCell ref="S22:S25"/>
    <mergeCell ref="T22:T25"/>
    <mergeCell ref="Q26:Q29"/>
    <mergeCell ref="R26:R29"/>
    <mergeCell ref="S26:S29"/>
    <mergeCell ref="T26:T33"/>
    <mergeCell ref="O32:O33"/>
    <mergeCell ref="Q32:Q33"/>
    <mergeCell ref="R32:R33"/>
    <mergeCell ref="S32:S33"/>
    <mergeCell ref="W27:W30"/>
    <mergeCell ref="X27:X30"/>
    <mergeCell ref="Y27:Y30"/>
    <mergeCell ref="V31:V33"/>
    <mergeCell ref="W31:W33"/>
    <mergeCell ref="X31:X33"/>
    <mergeCell ref="Y31:Y33"/>
    <mergeCell ref="AC22:AC23"/>
    <mergeCell ref="V24:V26"/>
    <mergeCell ref="W24:W26"/>
    <mergeCell ref="X24:X26"/>
    <mergeCell ref="Y24:Y26"/>
    <mergeCell ref="AA24:AA33"/>
    <mergeCell ref="AB24:AB33"/>
    <mergeCell ref="AC24:AC33"/>
    <mergeCell ref="V22:V23"/>
    <mergeCell ref="W22:W23"/>
    <mergeCell ref="X22:X23"/>
    <mergeCell ref="Y22:Y23"/>
    <mergeCell ref="AA22:AA23"/>
    <mergeCell ref="AB22:AB23"/>
    <mergeCell ref="P38:P42"/>
    <mergeCell ref="T38:T41"/>
    <mergeCell ref="O27:O29"/>
    <mergeCell ref="P27:P33"/>
    <mergeCell ref="V27:V30"/>
    <mergeCell ref="O41:O42"/>
    <mergeCell ref="AA41:AA42"/>
    <mergeCell ref="AB41:AB42"/>
    <mergeCell ref="AC41:AC49"/>
    <mergeCell ref="T42:T49"/>
    <mergeCell ref="V38:V39"/>
    <mergeCell ref="W38:W39"/>
    <mergeCell ref="X38:X39"/>
    <mergeCell ref="Y38:Y39"/>
    <mergeCell ref="AA38:AA40"/>
    <mergeCell ref="AB38:AB40"/>
    <mergeCell ref="P43:P49"/>
    <mergeCell ref="V43:V46"/>
    <mergeCell ref="W43:W46"/>
    <mergeCell ref="X43:X46"/>
    <mergeCell ref="Y43:Y46"/>
    <mergeCell ref="AA43:AA49"/>
    <mergeCell ref="AC38:AC40"/>
    <mergeCell ref="V40:V42"/>
    <mergeCell ref="W40:W42"/>
    <mergeCell ref="X40:X42"/>
    <mergeCell ref="Y40:Y42"/>
    <mergeCell ref="T54:T57"/>
    <mergeCell ref="Q56:Q57"/>
    <mergeCell ref="R56:R57"/>
    <mergeCell ref="S56:S57"/>
    <mergeCell ref="AB43:AB49"/>
    <mergeCell ref="V47:V49"/>
    <mergeCell ref="W47:W49"/>
    <mergeCell ref="X47:X49"/>
    <mergeCell ref="Y47:Y49"/>
    <mergeCell ref="Q48:Q49"/>
    <mergeCell ref="R48:R49"/>
    <mergeCell ref="S48:S49"/>
  </mergeCells>
  <conditionalFormatting sqref="G6:G17 G22:G33 G38:G49 I6:I17 I22:I33 I38:I49 K38:K49 K22:K33 K6:K17">
    <cfRule type="cellIs" dxfId="26" priority="16" operator="greaterThan">
      <formula>0</formula>
    </cfRule>
  </conditionalFormatting>
  <conditionalFormatting sqref="O6 O22 O38:O41 O10 O27 O30:O32 O43:O49">
    <cfRule type="cellIs" dxfId="25" priority="15" operator="greaterThan">
      <formula>0</formula>
    </cfRule>
  </conditionalFormatting>
  <conditionalFormatting sqref="G54:G65 I54:I65 K54:K65">
    <cfRule type="cellIs" dxfId="24" priority="14" operator="greaterThan">
      <formula>0</formula>
    </cfRule>
  </conditionalFormatting>
  <conditionalFormatting sqref="O54:O65">
    <cfRule type="cellIs" dxfId="23" priority="13" operator="greaterThan">
      <formula>0</formula>
    </cfRule>
  </conditionalFormatting>
  <conditionalFormatting sqref="AA6:AB17 AA22:AB22 AA38 AA41 AA43 AA24:AB24">
    <cfRule type="cellIs" dxfId="22" priority="12" operator="greaterThan">
      <formula>0</formula>
    </cfRule>
  </conditionalFormatting>
  <conditionalFormatting sqref="Q54:R65">
    <cfRule type="cellIs" dxfId="21" priority="11" operator="greaterThan">
      <formula>0</formula>
    </cfRule>
  </conditionalFormatting>
  <conditionalFormatting sqref="Q6:R6 Q22:R22 Q38:R48 Q10:R10 Q26:R26 Q30:R32">
    <cfRule type="cellIs" dxfId="20" priority="10" operator="greaterThan">
      <formula>0</formula>
    </cfRule>
  </conditionalFormatting>
  <conditionalFormatting sqref="V22 V54:V65 V24 V27 V31">
    <cfRule type="cellIs" dxfId="19" priority="9" operator="greaterThan">
      <formula>0</formula>
    </cfRule>
  </conditionalFormatting>
  <conditionalFormatting sqref="V38">
    <cfRule type="cellIs" dxfId="18" priority="8" operator="greaterThan">
      <formula>0</formula>
    </cfRule>
  </conditionalFormatting>
  <conditionalFormatting sqref="V40">
    <cfRule type="cellIs" dxfId="17" priority="7" operator="greaterThan">
      <formula>0</formula>
    </cfRule>
  </conditionalFormatting>
  <conditionalFormatting sqref="V43">
    <cfRule type="cellIs" dxfId="16" priority="6" operator="greaterThan">
      <formula>0</formula>
    </cfRule>
  </conditionalFormatting>
  <conditionalFormatting sqref="V47">
    <cfRule type="cellIs" dxfId="15" priority="5" operator="greaterThan">
      <formula>0</formula>
    </cfRule>
  </conditionalFormatting>
  <conditionalFormatting sqref="V6 V8 V11 V15">
    <cfRule type="cellIs" dxfId="14" priority="4" operator="greaterThan">
      <formula>0</formula>
    </cfRule>
  </conditionalFormatting>
  <conditionalFormatting sqref="AB38">
    <cfRule type="cellIs" dxfId="13" priority="3" operator="greaterThan">
      <formula>0</formula>
    </cfRule>
  </conditionalFormatting>
  <conditionalFormatting sqref="AB41">
    <cfRule type="cellIs" dxfId="12" priority="2" operator="greaterThan">
      <formula>0</formula>
    </cfRule>
  </conditionalFormatting>
  <conditionalFormatting sqref="AB43">
    <cfRule type="cellIs" dxfId="11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53"/>
  <sheetViews>
    <sheetView tabSelected="1" workbookViewId="0">
      <pane ySplit="4" topLeftCell="A5" activePane="bottomLeft" state="frozen"/>
      <selection pane="bottomLeft" activeCell="AB18" sqref="AB18"/>
    </sheetView>
  </sheetViews>
  <sheetFormatPr defaultRowHeight="12.75" x14ac:dyDescent="0.25"/>
  <cols>
    <col min="1" max="1" width="1" style="3" customWidth="1"/>
    <col min="2" max="2" width="4.7109375" style="3" customWidth="1"/>
    <col min="3" max="3" width="27.28515625" style="3" bestFit="1" customWidth="1"/>
    <col min="4" max="4" width="9.85546875" style="3" customWidth="1"/>
    <col min="5" max="5" width="9.140625" style="3"/>
    <col min="6" max="6" width="0.85546875" style="3" customWidth="1"/>
    <col min="7" max="7" width="9.140625" style="3"/>
    <col min="8" max="8" width="10.28515625" style="3" bestFit="1" customWidth="1"/>
    <col min="9" max="9" width="10.42578125" style="3" customWidth="1"/>
    <col min="10" max="10" width="0.7109375" style="3" customWidth="1"/>
    <col min="11" max="13" width="10" style="3" customWidth="1"/>
    <col min="14" max="14" width="0.85546875" style="3" customWidth="1"/>
    <col min="15" max="15" width="9.140625" style="3"/>
    <col min="16" max="16" width="7.85546875" style="3" customWidth="1"/>
    <col min="17" max="17" width="16.28515625" style="3" bestFit="1" customWidth="1"/>
    <col min="18" max="18" width="8.85546875" style="3" bestFit="1" customWidth="1"/>
    <col min="19" max="19" width="0.85546875" style="3" customWidth="1"/>
    <col min="20" max="20" width="8.7109375" style="3" customWidth="1"/>
    <col min="21" max="21" width="9.42578125" style="3" customWidth="1"/>
    <col min="22" max="22" width="8.85546875" style="3" bestFit="1" customWidth="1"/>
    <col min="23" max="23" width="0.85546875" style="3" customWidth="1"/>
    <col min="24" max="24" width="11.7109375" style="3" customWidth="1"/>
    <col min="25" max="25" width="13.28515625" style="3" customWidth="1"/>
    <col min="26" max="26" width="2.42578125" style="3" customWidth="1"/>
    <col min="27" max="27" width="12.85546875" style="3" customWidth="1"/>
    <col min="28" max="16384" width="9.140625" style="3"/>
  </cols>
  <sheetData>
    <row r="2" spans="2:27" ht="15.75" x14ac:dyDescent="0.25">
      <c r="C2" s="2" t="s">
        <v>16</v>
      </c>
      <c r="G2" s="545" t="s">
        <v>9</v>
      </c>
      <c r="H2" s="545"/>
      <c r="I2" s="545"/>
      <c r="K2" s="600" t="s">
        <v>5</v>
      </c>
      <c r="L2" s="600"/>
      <c r="M2" s="600"/>
      <c r="O2" s="546" t="s">
        <v>10</v>
      </c>
      <c r="P2" s="546"/>
      <c r="Q2" s="546"/>
      <c r="R2" s="546"/>
      <c r="T2" s="549" t="s">
        <v>11</v>
      </c>
      <c r="U2" s="549"/>
      <c r="V2" s="549"/>
      <c r="X2" s="603" t="s">
        <v>15</v>
      </c>
      <c r="Y2" s="603"/>
      <c r="AA2" s="602" t="s">
        <v>261</v>
      </c>
    </row>
    <row r="3" spans="2:27" ht="12.75" customHeight="1" x14ac:dyDescent="0.25">
      <c r="C3" s="16">
        <v>2017</v>
      </c>
      <c r="F3" s="27"/>
      <c r="G3" s="4" t="s">
        <v>260</v>
      </c>
      <c r="H3" s="599" t="s">
        <v>14</v>
      </c>
      <c r="I3" s="599"/>
      <c r="K3" s="5" t="s">
        <v>3</v>
      </c>
      <c r="L3" s="601" t="s">
        <v>14</v>
      </c>
      <c r="M3" s="601"/>
      <c r="O3" s="538" t="s">
        <v>260</v>
      </c>
      <c r="P3" s="538"/>
      <c r="Q3" s="606" t="s">
        <v>14</v>
      </c>
      <c r="R3" s="606"/>
      <c r="T3" s="6" t="s">
        <v>12</v>
      </c>
      <c r="U3" s="605" t="s">
        <v>14</v>
      </c>
      <c r="V3" s="605"/>
      <c r="X3" s="604" t="s">
        <v>14</v>
      </c>
      <c r="Y3" s="604"/>
      <c r="AA3" s="602"/>
    </row>
    <row r="4" spans="2:27" ht="15" customHeight="1" x14ac:dyDescent="0.25">
      <c r="F4" s="28"/>
      <c r="G4" s="7" t="s">
        <v>0</v>
      </c>
      <c r="H4" s="8" t="s">
        <v>7</v>
      </c>
      <c r="I4" s="499" t="s">
        <v>8</v>
      </c>
      <c r="K4" s="9" t="s">
        <v>2</v>
      </c>
      <c r="L4" s="10" t="s">
        <v>7</v>
      </c>
      <c r="M4" s="498" t="s">
        <v>8</v>
      </c>
      <c r="O4" s="11" t="s">
        <v>2</v>
      </c>
      <c r="P4" s="11" t="s">
        <v>13</v>
      </c>
      <c r="Q4" s="12" t="s">
        <v>7</v>
      </c>
      <c r="R4" s="495" t="s">
        <v>8</v>
      </c>
      <c r="T4" s="13" t="s">
        <v>13</v>
      </c>
      <c r="U4" s="14" t="s">
        <v>7</v>
      </c>
      <c r="V4" s="497" t="s">
        <v>8</v>
      </c>
      <c r="X4" s="15" t="s">
        <v>7</v>
      </c>
      <c r="Y4" s="15" t="s">
        <v>8</v>
      </c>
      <c r="AA4" s="500" t="s">
        <v>7</v>
      </c>
    </row>
    <row r="5" spans="2:27" x14ac:dyDescent="0.25">
      <c r="B5" s="26"/>
      <c r="C5" s="26"/>
      <c r="D5" s="26"/>
      <c r="E5" s="26" t="s">
        <v>17</v>
      </c>
      <c r="F5" s="26"/>
      <c r="G5" s="26"/>
      <c r="H5" s="26"/>
      <c r="I5" s="25">
        <v>0.15</v>
      </c>
      <c r="J5" s="26"/>
      <c r="K5" s="26"/>
      <c r="L5" s="26"/>
      <c r="M5" s="25">
        <v>0.21</v>
      </c>
      <c r="N5" s="26"/>
      <c r="O5" s="26"/>
      <c r="P5" s="26"/>
      <c r="Q5" s="26"/>
      <c r="R5" s="25">
        <v>0.21</v>
      </c>
      <c r="S5" s="26"/>
      <c r="T5" s="26"/>
      <c r="U5" s="26"/>
      <c r="V5" s="25">
        <v>0.15</v>
      </c>
      <c r="W5" s="26"/>
      <c r="X5" s="26"/>
      <c r="Y5" s="25">
        <v>0.21</v>
      </c>
      <c r="AA5" s="26"/>
    </row>
    <row r="6" spans="2:27" ht="6.75" customHeight="1" x14ac:dyDescent="0.25">
      <c r="I6" s="17"/>
      <c r="M6" s="17"/>
      <c r="R6" s="17"/>
      <c r="V6" s="17"/>
      <c r="Y6" s="17"/>
    </row>
    <row r="7" spans="2:27" s="19" customFormat="1" ht="15" x14ac:dyDescent="0.25">
      <c r="B7" s="24">
        <v>1</v>
      </c>
      <c r="C7" s="21" t="s">
        <v>256</v>
      </c>
      <c r="D7" s="21"/>
      <c r="E7" s="21"/>
      <c r="F7" s="21"/>
      <c r="G7" s="22">
        <v>0</v>
      </c>
      <c r="H7" s="22">
        <v>0</v>
      </c>
      <c r="I7" s="70">
        <v>0</v>
      </c>
      <c r="J7" s="22"/>
      <c r="K7" s="22">
        <f>'01 Zámek č.p. 1'!P50+'01 Zámek č.p. 1'!R50</f>
        <v>61670</v>
      </c>
      <c r="L7" s="22">
        <f>'01 Zámek č.p. 1'!Q50+'01 Zámek č.p. 1'!T50</f>
        <v>223663.38999999998</v>
      </c>
      <c r="M7" s="70">
        <f>L7*(1+$M$5)</f>
        <v>270632.70189999999</v>
      </c>
      <c r="N7" s="22"/>
      <c r="O7" s="22">
        <f>'01 Zámek č.p. 1'!AA50</f>
        <v>492859.72000000003</v>
      </c>
      <c r="P7" s="22">
        <f>'01 Zámek č.p. 1'!AB50</f>
        <v>46138.536999999997</v>
      </c>
      <c r="Q7" s="22">
        <f>'01 Zámek č.p. 1'!AC50</f>
        <v>388556.58</v>
      </c>
      <c r="R7" s="70">
        <f>Q7*(1+$R$5)</f>
        <v>470153.46179999999</v>
      </c>
      <c r="S7" s="22"/>
      <c r="T7" s="22">
        <f>'01 Zámek č.p. 1'!V50</f>
        <v>652</v>
      </c>
      <c r="U7" s="22">
        <f>'01 Zámek č.p. 1'!Y50</f>
        <v>19468.72</v>
      </c>
      <c r="V7" s="70">
        <f>U7*(1+$V$5)</f>
        <v>22389.027999999998</v>
      </c>
      <c r="W7" s="22"/>
      <c r="X7" s="22">
        <v>0</v>
      </c>
      <c r="Y7" s="22">
        <v>0</v>
      </c>
      <c r="AA7" s="22">
        <f>H7+L7+Q7+U7+X7</f>
        <v>631688.68999999994</v>
      </c>
    </row>
    <row r="8" spans="2:27" s="19" customFormat="1" ht="15" x14ac:dyDescent="0.25">
      <c r="B8" s="24">
        <v>2</v>
      </c>
      <c r="C8" s="21" t="s">
        <v>255</v>
      </c>
      <c r="D8" s="21"/>
      <c r="E8" s="21"/>
      <c r="F8" s="21"/>
      <c r="G8" s="22">
        <f>'02 Radnice č.p. 8'!I50</f>
        <v>709.92000000000007</v>
      </c>
      <c r="H8" s="22">
        <f>'02 Radnice č.p. 8'!K50</f>
        <v>328934.33280000003</v>
      </c>
      <c r="I8" s="70">
        <f>H8*(1+$I$5)</f>
        <v>378274.48272000003</v>
      </c>
      <c r="J8" s="22"/>
      <c r="K8" s="22">
        <f>'02 Radnice č.p. 8'!P50+'02 Radnice č.p. 8'!R50</f>
        <v>93290</v>
      </c>
      <c r="L8" s="22">
        <f>'02 Radnice č.p. 8'!Q50+'02 Radnice č.p. 8'!S50</f>
        <v>336190.49</v>
      </c>
      <c r="M8" s="70">
        <f>L8*(1+$M$5)</f>
        <v>406790.49289999995</v>
      </c>
      <c r="N8" s="22"/>
      <c r="O8" s="22">
        <v>0</v>
      </c>
      <c r="P8" s="22">
        <v>0</v>
      </c>
      <c r="Q8" s="22">
        <v>0</v>
      </c>
      <c r="R8" s="70">
        <f>Q8*(1+$R$5)</f>
        <v>0</v>
      </c>
      <c r="S8" s="22"/>
      <c r="T8" s="22">
        <f>'02 Radnice č.p. 8'!U50</f>
        <v>505</v>
      </c>
      <c r="U8" s="22">
        <f>'02 Radnice č.p. 8'!X50</f>
        <v>33451.200000000004</v>
      </c>
      <c r="V8" s="70">
        <f t="shared" ref="V8:V11" si="0">U8*(1+$V$5)</f>
        <v>38468.880000000005</v>
      </c>
      <c r="W8" s="22"/>
      <c r="X8" s="22">
        <v>0</v>
      </c>
      <c r="Y8" s="22">
        <v>0</v>
      </c>
      <c r="AA8" s="22">
        <f t="shared" ref="AA8:AA11" si="1">H8+L8+Q8+U8+X8</f>
        <v>698576.02279999992</v>
      </c>
    </row>
    <row r="9" spans="2:27" s="19" customFormat="1" ht="15" x14ac:dyDescent="0.25">
      <c r="B9" s="24">
        <v>3</v>
      </c>
      <c r="C9" s="21" t="s">
        <v>257</v>
      </c>
      <c r="D9" s="21"/>
      <c r="E9" s="21"/>
      <c r="F9" s="21"/>
      <c r="G9" s="22">
        <v>0</v>
      </c>
      <c r="H9" s="22">
        <v>0</v>
      </c>
      <c r="I9" s="70">
        <f t="shared" ref="I9:I11" si="2">H9*(1+$I$5)</f>
        <v>0</v>
      </c>
      <c r="J9" s="22"/>
      <c r="K9" s="22">
        <f>'03 ZŠ Nám. Míru'!O50+'03 ZŠ Nám. Míru'!R50+'03 ZŠ Nám. Míru'!S50</f>
        <v>48433</v>
      </c>
      <c r="L9" s="22">
        <f>'03 ZŠ Nám. Míru'!Q50+'03 ZŠ Nám. Míru'!U50</f>
        <v>166433.9664402401</v>
      </c>
      <c r="M9" s="70">
        <f>L9*(1+$M$5)</f>
        <v>201385.09939269052</v>
      </c>
      <c r="N9" s="22"/>
      <c r="O9" s="22">
        <f>'03 ZŠ Nám. Míru'!AF50+'03 ZŠ Nám. Míru'!AJ50</f>
        <v>739748.41899999999</v>
      </c>
      <c r="P9" s="22">
        <f>'03 ZŠ Nám. Míru'!AH50+'03 ZŠ Nám. Míru'!AL50</f>
        <v>69383.222999999998</v>
      </c>
      <c r="Q9" s="22">
        <f>'03 ZŠ Nám. Míru'!AI50+'03 ZŠ Nám. Míru'!AM50</f>
        <v>592600.60000000009</v>
      </c>
      <c r="R9" s="70">
        <f>Q9*(1+$R$5)</f>
        <v>717046.72600000014</v>
      </c>
      <c r="S9" s="22"/>
      <c r="T9" s="22">
        <f>'03 ZŠ Nám. Míru'!W50+'03 ZŠ Nám. Míru'!AA50</f>
        <v>486</v>
      </c>
      <c r="U9" s="22">
        <f>'03 ZŠ Nám. Míru'!Z50+'03 ZŠ Nám. Míru'!AD50</f>
        <v>32192.639999999999</v>
      </c>
      <c r="V9" s="70">
        <f t="shared" si="0"/>
        <v>37021.536</v>
      </c>
      <c r="W9" s="22"/>
      <c r="X9" s="22">
        <v>0</v>
      </c>
      <c r="Y9" s="22">
        <v>0</v>
      </c>
      <c r="AA9" s="22">
        <f t="shared" si="1"/>
        <v>791227.20644024026</v>
      </c>
    </row>
    <row r="10" spans="2:27" s="19" customFormat="1" ht="15" x14ac:dyDescent="0.25">
      <c r="B10" s="24">
        <v>4</v>
      </c>
      <c r="C10" s="21" t="s">
        <v>258</v>
      </c>
      <c r="D10" s="21"/>
      <c r="E10" s="21"/>
      <c r="F10" s="21"/>
      <c r="G10" s="22">
        <f>'04 ZŠ Školní'!I50</f>
        <v>2971</v>
      </c>
      <c r="H10" s="22">
        <f>'04 ZŠ Školní'!J50</f>
        <v>1376583.1400000001</v>
      </c>
      <c r="I10" s="70">
        <f t="shared" si="2"/>
        <v>1583070.611</v>
      </c>
      <c r="J10" s="22"/>
      <c r="K10" s="22">
        <f>'04 ZŠ Školní'!O50+'04 ZŠ Školní'!Q50+'04 ZŠ Školní'!R50+'04 ZŠ Školní'!U50+'04 ZŠ Školní'!V50</f>
        <v>176045</v>
      </c>
      <c r="L10" s="22">
        <f>'04 ZŠ Školní'!P50+'04 ZŠ Školní'!T50+'04 ZŠ Školní'!W50</f>
        <v>599059.79</v>
      </c>
      <c r="M10" s="70">
        <f>L10*(1+$M$5)</f>
        <v>724862.34590000007</v>
      </c>
      <c r="N10" s="22"/>
      <c r="O10" s="22">
        <v>0</v>
      </c>
      <c r="P10" s="22">
        <v>0</v>
      </c>
      <c r="Q10" s="22">
        <v>0</v>
      </c>
      <c r="R10" s="70">
        <f>Q10*(1+$R$5)</f>
        <v>0</v>
      </c>
      <c r="S10" s="22"/>
      <c r="T10" s="22">
        <f>'04 ZŠ Školní'!Y50</f>
        <v>2544</v>
      </c>
      <c r="U10" s="22">
        <f>'04 ZŠ Školní'!AB50</f>
        <v>168514.56</v>
      </c>
      <c r="V10" s="70">
        <f t="shared" si="0"/>
        <v>193791.74399999998</v>
      </c>
      <c r="W10" s="22"/>
      <c r="X10" s="22">
        <v>0</v>
      </c>
      <c r="Y10" s="22">
        <v>0</v>
      </c>
      <c r="AA10" s="22">
        <f t="shared" si="1"/>
        <v>2144157.4900000002</v>
      </c>
    </row>
    <row r="11" spans="2:27" s="19" customFormat="1" ht="15.75" thickBot="1" x14ac:dyDescent="0.3">
      <c r="B11" s="491">
        <v>5</v>
      </c>
      <c r="C11" s="492" t="s">
        <v>259</v>
      </c>
      <c r="D11" s="492"/>
      <c r="E11" s="492"/>
      <c r="F11" s="492"/>
      <c r="G11" s="493">
        <v>0</v>
      </c>
      <c r="H11" s="493">
        <v>0</v>
      </c>
      <c r="I11" s="496">
        <f t="shared" si="2"/>
        <v>0</v>
      </c>
      <c r="J11" s="493"/>
      <c r="K11" s="493">
        <f>'05 MŠ Letná'!O50+'05 MŠ Letná'!Q50+'05 MŠ Letná'!R50</f>
        <v>46211</v>
      </c>
      <c r="L11" s="493">
        <f>'05 MŠ Letná'!P50+'05 MŠ Letná'!T50</f>
        <v>123727.55</v>
      </c>
      <c r="M11" s="496">
        <f>L11*(1+$M$5)</f>
        <v>149710.33549999999</v>
      </c>
      <c r="N11" s="493"/>
      <c r="O11" s="493">
        <f>'05 MŠ Letná'!AA50</f>
        <v>295356.13</v>
      </c>
      <c r="P11" s="493">
        <f>'05 MŠ Letná'!AB50</f>
        <v>27645.811000000002</v>
      </c>
      <c r="Q11" s="493">
        <f>'05 MŠ Letná'!AC50</f>
        <v>235633.66</v>
      </c>
      <c r="R11" s="496">
        <f>Q11*(1+$R$5)</f>
        <v>285116.72859999997</v>
      </c>
      <c r="S11" s="493"/>
      <c r="T11" s="494">
        <f>'05 MŠ Letná'!V50</f>
        <v>732</v>
      </c>
      <c r="U11" s="494">
        <f>'05 MŠ Letná'!Y50</f>
        <v>48487.680000000008</v>
      </c>
      <c r="V11" s="496">
        <f t="shared" si="0"/>
        <v>55760.832000000002</v>
      </c>
      <c r="W11" s="493"/>
      <c r="X11" s="493">
        <v>0</v>
      </c>
      <c r="Y11" s="493">
        <v>0</v>
      </c>
      <c r="AA11" s="494">
        <f t="shared" si="1"/>
        <v>407848.89</v>
      </c>
    </row>
    <row r="12" spans="2:27" ht="15.75" thickTop="1" x14ac:dyDescent="0.25">
      <c r="B12" s="72"/>
      <c r="C12" s="72" t="s">
        <v>30</v>
      </c>
      <c r="D12" s="72"/>
      <c r="E12" s="72"/>
      <c r="F12" s="72"/>
      <c r="G12" s="70">
        <f>SUM(G7:G11)</f>
        <v>3680.92</v>
      </c>
      <c r="H12" s="70">
        <f>SUM(H7:H11)</f>
        <v>1705517.4728000001</v>
      </c>
      <c r="I12" s="70">
        <f>SUM(I7:I11)</f>
        <v>1961345.09372</v>
      </c>
      <c r="J12" s="23" t="e">
        <f>SUM(J7,J8,J9,J10,J11,#REF!,#REF!,#REF!,#REF!,#REF!,#REF!,#REF!,#REF!)</f>
        <v>#REF!</v>
      </c>
      <c r="K12" s="70">
        <f>SUM(K7:K11)</f>
        <v>425649</v>
      </c>
      <c r="L12" s="70">
        <f>SUM(L7:L11)</f>
        <v>1449075.1864402401</v>
      </c>
      <c r="M12" s="70">
        <f>SUM(M7:M11)</f>
        <v>1753380.9755926905</v>
      </c>
      <c r="N12" s="23" t="e">
        <f>SUM(N7,N8,N9,N10,N11,#REF!,#REF!,#REF!,#REF!,#REF!,#REF!,#REF!,#REF!)</f>
        <v>#REF!</v>
      </c>
      <c r="O12" s="70">
        <f>SUM(O7:O11)</f>
        <v>1527964.2689999999</v>
      </c>
      <c r="P12" s="70">
        <f>SUM(P7:P11)</f>
        <v>143167.571</v>
      </c>
      <c r="Q12" s="70">
        <f>SUM(Q7:Q11)</f>
        <v>1216790.8400000001</v>
      </c>
      <c r="R12" s="70">
        <f>SUM(R7:R11)</f>
        <v>1472316.9164000002</v>
      </c>
      <c r="S12" s="23" t="e">
        <f>SUM(S7,S8,S9,S10,S11,#REF!,#REF!,#REF!,#REF!,#REF!,#REF!,#REF!,#REF!)</f>
        <v>#REF!</v>
      </c>
      <c r="T12" s="70">
        <f>SUM(T7:T11)</f>
        <v>4919</v>
      </c>
      <c r="U12" s="70">
        <f>SUM(U7:U11)</f>
        <v>302114.8</v>
      </c>
      <c r="V12" s="70">
        <f>SUM(V7:V11)</f>
        <v>347432.01999999996</v>
      </c>
      <c r="W12" s="23" t="e">
        <f>SUM(W7,W8,W9,W10,W11,#REF!,#REF!,#REF!,#REF!,#REF!,#REF!,#REF!,#REF!)</f>
        <v>#REF!</v>
      </c>
      <c r="X12" s="70">
        <f>SUM(X7:X11)</f>
        <v>0</v>
      </c>
      <c r="Y12" s="70">
        <f>SUM(Y7:Y11)</f>
        <v>0</v>
      </c>
      <c r="AA12" s="70">
        <f>SUM(AA7:AA11)</f>
        <v>4673498.2992402399</v>
      </c>
    </row>
    <row r="13" spans="2:27" s="71" customFormat="1" x14ac:dyDescent="0.25">
      <c r="G13" s="295" t="str">
        <f>G4</f>
        <v>GJ</v>
      </c>
      <c r="H13" s="71" t="s">
        <v>7</v>
      </c>
      <c r="I13" s="71" t="s">
        <v>37</v>
      </c>
      <c r="K13" s="295" t="str">
        <f>K4</f>
        <v>kWh</v>
      </c>
      <c r="L13" s="71" t="s">
        <v>7</v>
      </c>
      <c r="M13" s="71" t="s">
        <v>37</v>
      </c>
      <c r="O13" s="295" t="str">
        <f>O4</f>
        <v>kWh</v>
      </c>
      <c r="P13" s="71" t="s">
        <v>38</v>
      </c>
      <c r="Q13" s="71" t="s">
        <v>7</v>
      </c>
      <c r="R13" s="71" t="s">
        <v>37</v>
      </c>
      <c r="T13" s="71" t="s">
        <v>38</v>
      </c>
      <c r="U13" s="71" t="s">
        <v>7</v>
      </c>
      <c r="V13" s="71" t="s">
        <v>37</v>
      </c>
      <c r="X13" s="71" t="s">
        <v>7</v>
      </c>
      <c r="Y13" s="71" t="s">
        <v>37</v>
      </c>
      <c r="AA13" s="71" t="s">
        <v>7</v>
      </c>
    </row>
    <row r="14" spans="2:27" s="71" customFormat="1" ht="24" customHeight="1" x14ac:dyDescent="0.25">
      <c r="G14" s="295"/>
      <c r="K14" s="295"/>
      <c r="O14" s="295"/>
    </row>
    <row r="15" spans="2:27" ht="15" x14ac:dyDescent="0.25">
      <c r="B15" s="21" t="s">
        <v>36</v>
      </c>
      <c r="C15" s="21"/>
      <c r="D15" s="21"/>
      <c r="E15" s="73" t="s">
        <v>137</v>
      </c>
      <c r="F15" s="18"/>
      <c r="G15" s="18"/>
      <c r="H15" s="22">
        <f>SUM(H12,L12,Q12,U12,X12)</f>
        <v>4673498.2992402399</v>
      </c>
      <c r="I15" s="18" t="s">
        <v>7</v>
      </c>
      <c r="J15" s="28"/>
      <c r="K15" s="28"/>
      <c r="L15" s="22">
        <f>SUM(I12,M12,R12,V12,Y12)</f>
        <v>5534475.0057126908</v>
      </c>
      <c r="M15" s="18" t="s">
        <v>37</v>
      </c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</row>
    <row r="18" spans="2:25" x14ac:dyDescent="0.25">
      <c r="B18" s="314"/>
      <c r="D18" s="314"/>
      <c r="E18" s="314"/>
      <c r="F18" s="314"/>
      <c r="G18" s="314"/>
      <c r="H18" s="314"/>
      <c r="I18" s="314"/>
      <c r="J18" s="314"/>
      <c r="K18" s="314"/>
      <c r="L18" s="314"/>
      <c r="M18" s="314"/>
      <c r="N18" s="314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</row>
    <row r="19" spans="2:25" ht="15.75" x14ac:dyDescent="0.25">
      <c r="B19" s="314"/>
      <c r="C19" s="315" t="s">
        <v>152</v>
      </c>
      <c r="D19" s="314"/>
      <c r="E19" s="314"/>
      <c r="F19" s="314"/>
      <c r="G19" s="314"/>
      <c r="H19" s="314"/>
      <c r="I19" s="317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7"/>
      <c r="V19" s="314"/>
      <c r="W19" s="314"/>
      <c r="X19" s="314"/>
      <c r="Y19" s="314"/>
    </row>
    <row r="20" spans="2:25" ht="15" x14ac:dyDescent="0.25">
      <c r="B20" s="318"/>
      <c r="C20" s="316">
        <v>2015</v>
      </c>
      <c r="D20" s="314"/>
      <c r="E20" s="314"/>
      <c r="F20" s="314"/>
      <c r="G20" s="314"/>
      <c r="H20" s="314"/>
      <c r="I20" s="319" t="str">
        <f>G2</f>
        <v>TEPLO</v>
      </c>
      <c r="J20" s="314"/>
      <c r="K20" s="314"/>
      <c r="L20" s="319" t="str">
        <f>K2</f>
        <v>ELEKTŘINA</v>
      </c>
      <c r="M20" s="314"/>
      <c r="N20" s="314"/>
      <c r="O20" s="314"/>
      <c r="P20" s="314"/>
      <c r="Q20" s="319" t="str">
        <f>O2</f>
        <v>ZEMNÍ PLYN</v>
      </c>
      <c r="R20" s="314"/>
      <c r="S20" s="314"/>
      <c r="T20" s="314"/>
      <c r="U20" s="319" t="str">
        <f>T2</f>
        <v>VODA</v>
      </c>
      <c r="V20" s="314"/>
      <c r="W20" s="314"/>
      <c r="X20" s="319"/>
      <c r="Y20" s="314"/>
    </row>
    <row r="21" spans="2:25" ht="17.25" x14ac:dyDescent="0.25">
      <c r="B21" s="318"/>
      <c r="C21" s="318"/>
      <c r="D21" s="314"/>
      <c r="E21" s="314"/>
      <c r="F21" s="314"/>
      <c r="G21" s="314"/>
      <c r="H21" s="314"/>
      <c r="I21" s="319" t="s">
        <v>151</v>
      </c>
      <c r="J21" s="314"/>
      <c r="K21" s="314"/>
      <c r="L21" s="319" t="s">
        <v>153</v>
      </c>
      <c r="M21" s="314"/>
      <c r="N21" s="314"/>
      <c r="O21" s="314"/>
      <c r="P21" s="314"/>
      <c r="Q21" s="319" t="s">
        <v>153</v>
      </c>
      <c r="R21" s="314"/>
      <c r="S21" s="314"/>
      <c r="T21" s="314"/>
      <c r="U21" s="319" t="s">
        <v>154</v>
      </c>
      <c r="V21" s="314"/>
      <c r="W21" s="314"/>
      <c r="X21" s="319"/>
      <c r="Y21" s="314"/>
    </row>
    <row r="22" spans="2:25" ht="15" x14ac:dyDescent="0.25">
      <c r="B22" s="320">
        <f t="shared" ref="B22:C26" si="3">B7</f>
        <v>1</v>
      </c>
      <c r="C22" s="321" t="str">
        <f t="shared" si="3"/>
        <v>Zámek č.p. 1</v>
      </c>
      <c r="D22" s="322"/>
      <c r="E22" s="322"/>
      <c r="F22" s="322"/>
      <c r="G22" s="326"/>
      <c r="H22" s="326"/>
      <c r="I22" s="327" t="s">
        <v>32</v>
      </c>
      <c r="J22" s="326"/>
      <c r="K22" s="326"/>
      <c r="L22" s="330">
        <f>L7/K7</f>
        <v>3.6267778498459542</v>
      </c>
      <c r="M22" s="326"/>
      <c r="N22" s="326"/>
      <c r="O22" s="326"/>
      <c r="P22" s="326"/>
      <c r="Q22" s="501">
        <f>Q7/O7</f>
        <v>0.78837154718182278</v>
      </c>
      <c r="R22" s="326"/>
      <c r="S22" s="326"/>
      <c r="T22" s="326"/>
      <c r="U22" s="327">
        <f>U7/T7</f>
        <v>29.860000000000003</v>
      </c>
      <c r="V22" s="326"/>
      <c r="W22" s="326"/>
      <c r="X22" s="327"/>
      <c r="Y22" s="326"/>
    </row>
    <row r="23" spans="2:25" ht="15" customHeight="1" x14ac:dyDescent="0.25">
      <c r="B23" s="323">
        <f t="shared" si="3"/>
        <v>2</v>
      </c>
      <c r="C23" s="324" t="str">
        <f t="shared" si="3"/>
        <v>Radnice č.p. 8</v>
      </c>
      <c r="D23" s="325"/>
      <c r="E23" s="325"/>
      <c r="F23" s="325"/>
      <c r="G23" s="328"/>
      <c r="H23" s="328"/>
      <c r="I23" s="329">
        <f>H8/G8</f>
        <v>463.34</v>
      </c>
      <c r="J23" s="328"/>
      <c r="K23" s="328"/>
      <c r="L23" s="331">
        <f>L8/K8</f>
        <v>3.6037141172687317</v>
      </c>
      <c r="M23" s="328"/>
      <c r="N23" s="328"/>
      <c r="O23" s="328"/>
      <c r="P23" s="328"/>
      <c r="Q23" s="329" t="s">
        <v>32</v>
      </c>
      <c r="R23" s="328"/>
      <c r="S23" s="328"/>
      <c r="T23" s="328"/>
      <c r="U23" s="329">
        <f>U8/T8</f>
        <v>66.240000000000009</v>
      </c>
      <c r="V23" s="328"/>
      <c r="W23" s="328"/>
      <c r="X23" s="329"/>
      <c r="Y23" s="328"/>
    </row>
    <row r="24" spans="2:25" ht="15" x14ac:dyDescent="0.25">
      <c r="B24" s="323">
        <f t="shared" si="3"/>
        <v>3</v>
      </c>
      <c r="C24" s="324" t="str">
        <f t="shared" si="3"/>
        <v>ZŠ Nám. Míru</v>
      </c>
      <c r="D24" s="325"/>
      <c r="E24" s="325"/>
      <c r="F24" s="325"/>
      <c r="G24" s="328"/>
      <c r="H24" s="328"/>
      <c r="I24" s="329" t="s">
        <v>32</v>
      </c>
      <c r="J24" s="328"/>
      <c r="K24" s="328"/>
      <c r="L24" s="331">
        <f>L9/K9</f>
        <v>3.436375331700289</v>
      </c>
      <c r="M24" s="328"/>
      <c r="N24" s="328"/>
      <c r="O24" s="328"/>
      <c r="P24" s="328"/>
      <c r="Q24" s="501">
        <f>Q9/O9</f>
        <v>0.8010839696029145</v>
      </c>
      <c r="R24" s="328"/>
      <c r="S24" s="328"/>
      <c r="T24" s="328"/>
      <c r="U24" s="329">
        <f>U9/T9</f>
        <v>66.239999999999995</v>
      </c>
      <c r="V24" s="328"/>
      <c r="W24" s="328"/>
      <c r="X24" s="329"/>
      <c r="Y24" s="328"/>
    </row>
    <row r="25" spans="2:25" ht="15" x14ac:dyDescent="0.25">
      <c r="B25" s="323">
        <f t="shared" si="3"/>
        <v>4</v>
      </c>
      <c r="C25" s="324" t="str">
        <f t="shared" si="3"/>
        <v>ZŠ Školní</v>
      </c>
      <c r="D25" s="325"/>
      <c r="E25" s="325"/>
      <c r="F25" s="325"/>
      <c r="G25" s="328"/>
      <c r="H25" s="328"/>
      <c r="I25" s="329">
        <f>H10/G10</f>
        <v>463.34000000000003</v>
      </c>
      <c r="J25" s="328"/>
      <c r="K25" s="328"/>
      <c r="L25" s="331">
        <f>L10/K10</f>
        <v>3.4028787525916671</v>
      </c>
      <c r="M25" s="328"/>
      <c r="N25" s="328"/>
      <c r="O25" s="328"/>
      <c r="P25" s="328"/>
      <c r="Q25" s="332" t="s">
        <v>32</v>
      </c>
      <c r="R25" s="328"/>
      <c r="S25" s="328"/>
      <c r="T25" s="328"/>
      <c r="U25" s="329">
        <f>U10/T10</f>
        <v>66.239999999999995</v>
      </c>
      <c r="V25" s="328"/>
      <c r="W25" s="328"/>
      <c r="X25" s="329"/>
      <c r="Y25" s="328"/>
    </row>
    <row r="26" spans="2:25" ht="15" x14ac:dyDescent="0.25">
      <c r="B26" s="323">
        <f t="shared" si="3"/>
        <v>5</v>
      </c>
      <c r="C26" s="324" t="str">
        <f t="shared" si="3"/>
        <v>MŠ Letná</v>
      </c>
      <c r="D26" s="325"/>
      <c r="E26" s="325"/>
      <c r="F26" s="325"/>
      <c r="G26" s="328"/>
      <c r="H26" s="328"/>
      <c r="I26" s="329" t="s">
        <v>32</v>
      </c>
      <c r="J26" s="328"/>
      <c r="K26" s="328"/>
      <c r="L26" s="331">
        <f>L11/K11</f>
        <v>2.6774480102140186</v>
      </c>
      <c r="M26" s="328"/>
      <c r="N26" s="328"/>
      <c r="O26" s="328"/>
      <c r="P26" s="328"/>
      <c r="Q26" s="332">
        <f>Q11/O11</f>
        <v>0.79779505507469917</v>
      </c>
      <c r="R26" s="328"/>
      <c r="S26" s="328"/>
      <c r="T26" s="328"/>
      <c r="U26" s="329">
        <f>U11/T11</f>
        <v>66.240000000000009</v>
      </c>
      <c r="V26" s="328"/>
      <c r="W26" s="328"/>
      <c r="X26" s="329"/>
      <c r="Y26" s="328"/>
    </row>
    <row r="28" spans="2:25" x14ac:dyDescent="0.25">
      <c r="I28" s="20"/>
    </row>
    <row r="29" spans="2:25" x14ac:dyDescent="0.25">
      <c r="B29" s="33"/>
    </row>
    <row r="30" spans="2:25" x14ac:dyDescent="0.25">
      <c r="B30" s="68"/>
    </row>
    <row r="31" spans="2:25" x14ac:dyDescent="0.25">
      <c r="B31" s="68"/>
    </row>
    <row r="32" spans="2:25" x14ac:dyDescent="0.25">
      <c r="B32" s="302"/>
      <c r="H32" s="311"/>
      <c r="I32" s="20"/>
      <c r="K32" s="20"/>
      <c r="L32" s="20"/>
      <c r="O32" s="20"/>
      <c r="P32" s="20"/>
    </row>
    <row r="33" spans="3:16" x14ac:dyDescent="0.25">
      <c r="H33" s="311"/>
      <c r="I33" s="20"/>
      <c r="K33" s="20"/>
      <c r="L33" s="20"/>
      <c r="O33" s="20"/>
      <c r="P33" s="20"/>
    </row>
    <row r="34" spans="3:16" x14ac:dyDescent="0.25">
      <c r="H34" s="311"/>
      <c r="I34" s="20"/>
      <c r="K34" s="20"/>
      <c r="L34" s="20"/>
      <c r="O34" s="20"/>
      <c r="P34" s="20"/>
    </row>
    <row r="35" spans="3:16" x14ac:dyDescent="0.25">
      <c r="H35" s="311"/>
      <c r="I35" s="20"/>
      <c r="K35" s="20"/>
      <c r="L35" s="20"/>
      <c r="O35" s="20"/>
      <c r="P35" s="20"/>
    </row>
    <row r="36" spans="3:16" x14ac:dyDescent="0.25">
      <c r="H36" s="311"/>
      <c r="I36" s="20"/>
      <c r="K36" s="20"/>
      <c r="L36" s="20"/>
      <c r="O36" s="20"/>
      <c r="P36" s="20"/>
    </row>
    <row r="37" spans="3:16" x14ac:dyDescent="0.25">
      <c r="H37" s="311"/>
      <c r="I37" s="20"/>
      <c r="K37" s="20"/>
      <c r="L37" s="20"/>
      <c r="O37" s="20"/>
      <c r="P37" s="20"/>
    </row>
    <row r="38" spans="3:16" x14ac:dyDescent="0.25">
      <c r="H38" s="311"/>
      <c r="I38" s="20"/>
      <c r="K38" s="20"/>
      <c r="L38" s="20"/>
      <c r="O38" s="20"/>
      <c r="P38" s="20"/>
    </row>
    <row r="39" spans="3:16" x14ac:dyDescent="0.25">
      <c r="I39" s="20"/>
      <c r="K39" s="20"/>
      <c r="L39" s="20"/>
      <c r="O39" s="20"/>
      <c r="P39" s="20"/>
    </row>
    <row r="41" spans="3:16" x14ac:dyDescent="0.25">
      <c r="I41" s="310"/>
      <c r="J41" s="310"/>
      <c r="K41" s="310"/>
      <c r="L41" s="310"/>
    </row>
    <row r="43" spans="3:16" x14ac:dyDescent="0.25">
      <c r="L43" s="20"/>
    </row>
    <row r="45" spans="3:16" x14ac:dyDescent="0.25">
      <c r="L45" s="20"/>
    </row>
    <row r="46" spans="3:16" ht="15" x14ac:dyDescent="0.25">
      <c r="C46" s="234"/>
      <c r="D46" s="312"/>
      <c r="E46" s="234"/>
      <c r="L46" s="20"/>
    </row>
    <row r="47" spans="3:16" ht="15" x14ac:dyDescent="0.25">
      <c r="C47" s="234"/>
      <c r="D47" s="312"/>
      <c r="E47" s="234"/>
    </row>
    <row r="48" spans="3:16" ht="15" x14ac:dyDescent="0.25">
      <c r="C48" s="234"/>
      <c r="D48" s="313"/>
      <c r="E48" s="234"/>
    </row>
    <row r="49" spans="3:5" ht="15" x14ac:dyDescent="0.25">
      <c r="C49" s="234"/>
      <c r="D49" s="234"/>
      <c r="E49" s="234"/>
    </row>
    <row r="50" spans="3:5" ht="15" x14ac:dyDescent="0.25">
      <c r="C50" s="234"/>
      <c r="D50" s="234"/>
      <c r="E50" s="234"/>
    </row>
    <row r="51" spans="3:5" ht="15" x14ac:dyDescent="0.25">
      <c r="C51" s="234"/>
      <c r="D51" s="312"/>
      <c r="E51" s="234"/>
    </row>
    <row r="52" spans="3:5" ht="15" x14ac:dyDescent="0.25">
      <c r="C52" s="234"/>
      <c r="D52" s="312"/>
      <c r="E52" s="234"/>
    </row>
    <row r="53" spans="3:5" ht="15" x14ac:dyDescent="0.25">
      <c r="C53" s="234"/>
      <c r="D53" s="312"/>
      <c r="E53" s="234"/>
    </row>
  </sheetData>
  <mergeCells count="12">
    <mergeCell ref="H3:I3"/>
    <mergeCell ref="G2:I2"/>
    <mergeCell ref="K2:M2"/>
    <mergeCell ref="L3:M3"/>
    <mergeCell ref="AA2:AA3"/>
    <mergeCell ref="X2:Y2"/>
    <mergeCell ref="X3:Y3"/>
    <mergeCell ref="O3:P3"/>
    <mergeCell ref="O2:R2"/>
    <mergeCell ref="T2:V2"/>
    <mergeCell ref="U3:V3"/>
    <mergeCell ref="Q3:R3"/>
  </mergeCells>
  <conditionalFormatting sqref="G12:L12 N12:Q12 G7:Y11">
    <cfRule type="cellIs" dxfId="10" priority="16" operator="equal">
      <formula>0</formula>
    </cfRule>
  </conditionalFormatting>
  <conditionalFormatting sqref="S12 W12">
    <cfRule type="cellIs" dxfId="9" priority="15" operator="equal">
      <formula>0</formula>
    </cfRule>
  </conditionalFormatting>
  <conditionalFormatting sqref="X12">
    <cfRule type="cellIs" dxfId="8" priority="4" operator="equal">
      <formula>0</formula>
    </cfRule>
  </conditionalFormatting>
  <conditionalFormatting sqref="M12">
    <cfRule type="cellIs" dxfId="7" priority="9" operator="equal">
      <formula>0</formula>
    </cfRule>
  </conditionalFormatting>
  <conditionalFormatting sqref="R12">
    <cfRule type="cellIs" dxfId="6" priority="8" operator="equal">
      <formula>0</formula>
    </cfRule>
  </conditionalFormatting>
  <conditionalFormatting sqref="T12">
    <cfRule type="cellIs" dxfId="5" priority="7" operator="equal">
      <formula>0</formula>
    </cfRule>
  </conditionalFormatting>
  <conditionalFormatting sqref="U12">
    <cfRule type="cellIs" dxfId="4" priority="6" operator="equal">
      <formula>0</formula>
    </cfRule>
  </conditionalFormatting>
  <conditionalFormatting sqref="V12">
    <cfRule type="cellIs" dxfId="3" priority="5" operator="equal">
      <formula>0</formula>
    </cfRule>
  </conditionalFormatting>
  <conditionalFormatting sqref="Y12">
    <cfRule type="cellIs" dxfId="2" priority="3" operator="equal">
      <formula>0</formula>
    </cfRule>
  </conditionalFormatting>
  <conditionalFormatting sqref="AA7:AA11">
    <cfRule type="cellIs" dxfId="1" priority="2" operator="equal">
      <formula>0</formula>
    </cfRule>
  </conditionalFormatting>
  <conditionalFormatting sqref="AA12">
    <cfRule type="cellIs" dxfId="0" priority="1" operator="equal">
      <formula>0</formula>
    </cfRule>
  </conditionalFormatting>
  <pageMargins left="0.7" right="0.7" top="0.78740157499999996" bottom="0.78740157499999996" header="0.3" footer="0.3"/>
  <pageSetup paperSize="9" scale="67" orientation="landscape" r:id="rId1"/>
  <ignoredErrors>
    <ignoredError sqref="J12 N12 S12 W12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AA52"/>
  <sheetViews>
    <sheetView showGridLines="0" topLeftCell="A28" zoomScale="85" zoomScaleNormal="85" workbookViewId="0">
      <selection activeCell="D13" sqref="D13"/>
    </sheetView>
  </sheetViews>
  <sheetFormatPr defaultRowHeight="12.75" outlineLevelCol="1" x14ac:dyDescent="0.2"/>
  <cols>
    <col min="1" max="1" width="1.7109375" style="78" customWidth="1"/>
    <col min="2" max="2" width="9.140625" style="78"/>
    <col min="3" max="3" width="25" style="78" customWidth="1"/>
    <col min="4" max="5" width="11.85546875" style="78" customWidth="1"/>
    <col min="6" max="6" width="11.5703125" style="78" customWidth="1"/>
    <col min="7" max="8" width="11.85546875" style="78" customWidth="1"/>
    <col min="9" max="9" width="11.140625" style="78" customWidth="1"/>
    <col min="10" max="10" width="11.7109375" style="78" customWidth="1"/>
    <col min="11" max="11" width="12.7109375" style="78" customWidth="1"/>
    <col min="12" max="12" width="11.7109375" style="78" customWidth="1"/>
    <col min="13" max="14" width="12" style="78" customWidth="1"/>
    <col min="15" max="15" width="11.140625" style="78" customWidth="1"/>
    <col min="16" max="18" width="11.140625" style="78" customWidth="1" outlineLevel="1"/>
    <col min="19" max="19" width="11.5703125" style="78" customWidth="1" outlineLevel="1"/>
    <col min="20" max="22" width="11.140625" style="78" customWidth="1" outlineLevel="1"/>
    <col min="23" max="23" width="11.5703125" style="78" customWidth="1" outlineLevel="1"/>
    <col min="24" max="24" width="11.140625" style="78" customWidth="1" outlineLevel="1"/>
    <col min="25" max="25" width="12.140625" style="78" customWidth="1" outlineLevel="1"/>
    <col min="26" max="16384" width="9.140625" style="78"/>
  </cols>
  <sheetData>
    <row r="2" spans="2:27" ht="13.5" thickBot="1" x14ac:dyDescent="0.25">
      <c r="B2" s="75" t="s">
        <v>39</v>
      </c>
      <c r="C2" s="76"/>
      <c r="D2" s="607" t="s">
        <v>179</v>
      </c>
      <c r="E2" s="608"/>
      <c r="F2" s="609"/>
      <c r="G2" s="609"/>
      <c r="H2" s="609"/>
      <c r="I2" s="609"/>
      <c r="J2" s="609"/>
      <c r="K2" s="609"/>
      <c r="L2" s="609"/>
      <c r="M2" s="609"/>
      <c r="N2" s="609"/>
      <c r="O2" s="609"/>
      <c r="P2" s="609"/>
      <c r="Q2" s="609"/>
      <c r="R2" s="609"/>
      <c r="S2" s="609"/>
      <c r="T2" s="609"/>
      <c r="U2" s="609"/>
      <c r="V2" s="609"/>
      <c r="W2" s="609"/>
      <c r="X2" s="609"/>
      <c r="Y2" s="610"/>
      <c r="Z2" s="77"/>
    </row>
    <row r="3" spans="2:27" x14ac:dyDescent="0.2">
      <c r="B3" s="611" t="s">
        <v>40</v>
      </c>
      <c r="C3" s="613" t="s">
        <v>41</v>
      </c>
      <c r="D3" s="615" t="s">
        <v>42</v>
      </c>
      <c r="E3" s="617" t="s">
        <v>43</v>
      </c>
      <c r="F3" s="79" t="s">
        <v>44</v>
      </c>
      <c r="G3" s="80" t="s">
        <v>45</v>
      </c>
      <c r="H3" s="80" t="s">
        <v>46</v>
      </c>
      <c r="I3" s="80" t="s">
        <v>47</v>
      </c>
      <c r="J3" s="80" t="s">
        <v>48</v>
      </c>
      <c r="K3" s="80" t="s">
        <v>49</v>
      </c>
      <c r="L3" s="80" t="s">
        <v>50</v>
      </c>
      <c r="M3" s="80" t="s">
        <v>51</v>
      </c>
      <c r="N3" s="80" t="s">
        <v>52</v>
      </c>
      <c r="O3" s="80" t="s">
        <v>53</v>
      </c>
      <c r="P3" s="80" t="s">
        <v>54</v>
      </c>
      <c r="Q3" s="80" t="s">
        <v>55</v>
      </c>
      <c r="R3" s="80" t="s">
        <v>56</v>
      </c>
      <c r="S3" s="80" t="s">
        <v>57</v>
      </c>
      <c r="T3" s="80" t="s">
        <v>58</v>
      </c>
      <c r="U3" s="80" t="s">
        <v>59</v>
      </c>
      <c r="V3" s="80" t="s">
        <v>60</v>
      </c>
      <c r="W3" s="80" t="s">
        <v>61</v>
      </c>
      <c r="X3" s="80" t="s">
        <v>62</v>
      </c>
      <c r="Y3" s="81" t="s">
        <v>63</v>
      </c>
      <c r="AA3" s="82" t="s">
        <v>64</v>
      </c>
    </row>
    <row r="4" spans="2:27" ht="15" customHeight="1" x14ac:dyDescent="0.2">
      <c r="B4" s="612"/>
      <c r="C4" s="614"/>
      <c r="D4" s="616"/>
      <c r="E4" s="618"/>
      <c r="F4" s="619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  <c r="X4" s="620"/>
      <c r="Y4" s="621"/>
    </row>
    <row r="5" spans="2:27" x14ac:dyDescent="0.2">
      <c r="B5" s="612"/>
      <c r="C5" s="614"/>
      <c r="D5" s="616"/>
      <c r="E5" s="618"/>
      <c r="F5" s="619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1"/>
    </row>
    <row r="6" spans="2:27" x14ac:dyDescent="0.2">
      <c r="B6" s="612"/>
      <c r="C6" s="614"/>
      <c r="D6" s="616"/>
      <c r="E6" s="618"/>
      <c r="F6" s="619"/>
      <c r="G6" s="620"/>
      <c r="H6" s="620"/>
      <c r="I6" s="620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0"/>
      <c r="X6" s="620"/>
      <c r="Y6" s="621"/>
    </row>
    <row r="7" spans="2:27" x14ac:dyDescent="0.2">
      <c r="B7" s="612"/>
      <c r="C7" s="614"/>
      <c r="D7" s="616"/>
      <c r="E7" s="618"/>
      <c r="F7" s="619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20"/>
      <c r="Y7" s="621"/>
    </row>
    <row r="8" spans="2:27" x14ac:dyDescent="0.2">
      <c r="B8" s="612"/>
      <c r="C8" s="614"/>
      <c r="D8" s="616"/>
      <c r="E8" s="618"/>
      <c r="F8" s="619"/>
      <c r="G8" s="620"/>
      <c r="H8" s="620"/>
      <c r="I8" s="620"/>
      <c r="J8" s="620"/>
      <c r="K8" s="620"/>
      <c r="L8" s="620"/>
      <c r="M8" s="620"/>
      <c r="N8" s="620"/>
      <c r="O8" s="620"/>
      <c r="P8" s="620"/>
      <c r="Q8" s="620"/>
      <c r="R8" s="620"/>
      <c r="S8" s="620"/>
      <c r="T8" s="620"/>
      <c r="U8" s="620"/>
      <c r="V8" s="620"/>
      <c r="W8" s="620"/>
      <c r="X8" s="620"/>
      <c r="Y8" s="621"/>
    </row>
    <row r="9" spans="2:27" x14ac:dyDescent="0.2">
      <c r="B9" s="83">
        <v>1</v>
      </c>
      <c r="C9" s="84" t="str">
        <f>'REFERENČNÍ SPOTŘEBY'!C7</f>
        <v>Zámek č.p. 1</v>
      </c>
      <c r="D9" s="85">
        <f>SUM(F9:Y9)</f>
        <v>0</v>
      </c>
      <c r="E9" s="133" t="s">
        <v>65</v>
      </c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8"/>
    </row>
    <row r="10" spans="2:27" x14ac:dyDescent="0.2">
      <c r="B10" s="83">
        <v>2</v>
      </c>
      <c r="C10" s="84" t="str">
        <f>'REFERENČNÍ SPOTŘEBY'!C8</f>
        <v>Radnice č.p. 8</v>
      </c>
      <c r="D10" s="85">
        <f t="shared" ref="D10:D13" si="0">SUM(F10:Y10)</f>
        <v>0</v>
      </c>
      <c r="E10" s="133" t="s">
        <v>65</v>
      </c>
      <c r="F10" s="86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8"/>
    </row>
    <row r="11" spans="2:27" x14ac:dyDescent="0.2">
      <c r="B11" s="83">
        <v>3</v>
      </c>
      <c r="C11" s="84" t="str">
        <f>'REFERENČNÍ SPOTŘEBY'!C9</f>
        <v>ZŠ Nám. Míru</v>
      </c>
      <c r="D11" s="85">
        <f t="shared" si="0"/>
        <v>0</v>
      </c>
      <c r="E11" s="133" t="s">
        <v>65</v>
      </c>
      <c r="F11" s="86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8"/>
    </row>
    <row r="12" spans="2:27" x14ac:dyDescent="0.2">
      <c r="B12" s="83">
        <v>4</v>
      </c>
      <c r="C12" s="84" t="str">
        <f>'REFERENČNÍ SPOTŘEBY'!C10</f>
        <v>ZŠ Školní</v>
      </c>
      <c r="D12" s="85">
        <f t="shared" si="0"/>
        <v>0</v>
      </c>
      <c r="E12" s="133" t="s">
        <v>65</v>
      </c>
      <c r="F12" s="86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8"/>
    </row>
    <row r="13" spans="2:27" ht="13.5" thickBot="1" x14ac:dyDescent="0.25">
      <c r="B13" s="89">
        <v>5</v>
      </c>
      <c r="C13" s="90" t="str">
        <f>'REFERENČNÍ SPOTŘEBY'!C11</f>
        <v>MŠ Letná</v>
      </c>
      <c r="D13" s="91">
        <f t="shared" si="0"/>
        <v>0</v>
      </c>
      <c r="E13" s="134" t="s">
        <v>65</v>
      </c>
      <c r="F13" s="92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4"/>
    </row>
    <row r="14" spans="2:27" ht="13.5" thickBot="1" x14ac:dyDescent="0.25">
      <c r="B14" s="624" t="s">
        <v>66</v>
      </c>
      <c r="C14" s="625"/>
      <c r="D14" s="95">
        <f>SUM(D9:D13)</f>
        <v>0</v>
      </c>
      <c r="E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</row>
    <row r="17" spans="2:27" ht="13.5" thickBot="1" x14ac:dyDescent="0.25">
      <c r="B17" s="97" t="s">
        <v>67</v>
      </c>
      <c r="C17" s="98"/>
      <c r="D17" s="607" t="s">
        <v>68</v>
      </c>
      <c r="E17" s="608"/>
      <c r="F17" s="608"/>
      <c r="G17" s="608"/>
      <c r="H17" s="608"/>
      <c r="I17" s="608"/>
      <c r="J17" s="608"/>
      <c r="K17" s="608"/>
      <c r="L17" s="608"/>
      <c r="M17" s="608"/>
      <c r="N17" s="608"/>
      <c r="O17" s="608"/>
      <c r="P17" s="608"/>
      <c r="Q17" s="608"/>
      <c r="R17" s="608"/>
      <c r="S17" s="608"/>
      <c r="T17" s="608"/>
      <c r="U17" s="608"/>
      <c r="V17" s="608"/>
      <c r="W17" s="608"/>
      <c r="X17" s="608"/>
      <c r="Y17" s="608"/>
      <c r="Z17" s="608"/>
      <c r="AA17" s="77"/>
    </row>
    <row r="18" spans="2:27" ht="15" customHeight="1" x14ac:dyDescent="0.2">
      <c r="B18" s="611" t="s">
        <v>40</v>
      </c>
      <c r="C18" s="613" t="s">
        <v>41</v>
      </c>
      <c r="D18" s="630" t="s">
        <v>69</v>
      </c>
      <c r="E18" s="617" t="s">
        <v>43</v>
      </c>
      <c r="F18" s="79" t="str">
        <f t="shared" ref="F18:Y18" si="1">F3</f>
        <v>Opatření 1</v>
      </c>
      <c r="G18" s="80" t="str">
        <f t="shared" si="1"/>
        <v>Opatření 2</v>
      </c>
      <c r="H18" s="80" t="str">
        <f t="shared" si="1"/>
        <v>Opatření 3</v>
      </c>
      <c r="I18" s="80" t="str">
        <f t="shared" si="1"/>
        <v>Opatření 4</v>
      </c>
      <c r="J18" s="80" t="str">
        <f t="shared" si="1"/>
        <v>Opatření 5</v>
      </c>
      <c r="K18" s="80" t="str">
        <f t="shared" si="1"/>
        <v>Opatření 6</v>
      </c>
      <c r="L18" s="80" t="str">
        <f t="shared" si="1"/>
        <v>Opatření 7</v>
      </c>
      <c r="M18" s="80" t="str">
        <f t="shared" si="1"/>
        <v>Opatření 8</v>
      </c>
      <c r="N18" s="80" t="str">
        <f t="shared" si="1"/>
        <v>Opatření 9</v>
      </c>
      <c r="O18" s="80" t="str">
        <f t="shared" si="1"/>
        <v>Opatření 10</v>
      </c>
      <c r="P18" s="80" t="str">
        <f t="shared" si="1"/>
        <v>Opatření 11</v>
      </c>
      <c r="Q18" s="80" t="str">
        <f t="shared" si="1"/>
        <v>Opatření 12</v>
      </c>
      <c r="R18" s="80" t="str">
        <f t="shared" si="1"/>
        <v>Opatření 13</v>
      </c>
      <c r="S18" s="80" t="str">
        <f t="shared" si="1"/>
        <v>Opatření 14</v>
      </c>
      <c r="T18" s="80" t="str">
        <f t="shared" si="1"/>
        <v>Opatření 15</v>
      </c>
      <c r="U18" s="80" t="str">
        <f t="shared" si="1"/>
        <v>Opatření 16</v>
      </c>
      <c r="V18" s="80" t="str">
        <f t="shared" si="1"/>
        <v>Opatření 17</v>
      </c>
      <c r="W18" s="80" t="str">
        <f t="shared" si="1"/>
        <v>Opatření 18</v>
      </c>
      <c r="X18" s="80" t="str">
        <f t="shared" si="1"/>
        <v>Opatření 19</v>
      </c>
      <c r="Y18" s="80" t="str">
        <f t="shared" si="1"/>
        <v>Opatření 20</v>
      </c>
      <c r="Z18" s="622" t="s">
        <v>70</v>
      </c>
    </row>
    <row r="19" spans="2:27" x14ac:dyDescent="0.2">
      <c r="B19" s="612"/>
      <c r="C19" s="614"/>
      <c r="D19" s="631"/>
      <c r="E19" s="618"/>
      <c r="F19" s="612">
        <f t="shared" ref="F19:Y19" si="2">F4</f>
        <v>0</v>
      </c>
      <c r="G19" s="614">
        <f t="shared" si="2"/>
        <v>0</v>
      </c>
      <c r="H19" s="614">
        <f t="shared" si="2"/>
        <v>0</v>
      </c>
      <c r="I19" s="614">
        <f t="shared" si="2"/>
        <v>0</v>
      </c>
      <c r="J19" s="614">
        <f t="shared" si="2"/>
        <v>0</v>
      </c>
      <c r="K19" s="614">
        <f t="shared" si="2"/>
        <v>0</v>
      </c>
      <c r="L19" s="614">
        <f t="shared" si="2"/>
        <v>0</v>
      </c>
      <c r="M19" s="614">
        <f t="shared" si="2"/>
        <v>0</v>
      </c>
      <c r="N19" s="614">
        <f t="shared" si="2"/>
        <v>0</v>
      </c>
      <c r="O19" s="614">
        <f t="shared" si="2"/>
        <v>0</v>
      </c>
      <c r="P19" s="614">
        <f t="shared" si="2"/>
        <v>0</v>
      </c>
      <c r="Q19" s="614">
        <f t="shared" si="2"/>
        <v>0</v>
      </c>
      <c r="R19" s="614">
        <f t="shared" si="2"/>
        <v>0</v>
      </c>
      <c r="S19" s="614">
        <f t="shared" si="2"/>
        <v>0</v>
      </c>
      <c r="T19" s="614">
        <f t="shared" si="2"/>
        <v>0</v>
      </c>
      <c r="U19" s="614">
        <f t="shared" si="2"/>
        <v>0</v>
      </c>
      <c r="V19" s="614">
        <f t="shared" si="2"/>
        <v>0</v>
      </c>
      <c r="W19" s="614">
        <f t="shared" si="2"/>
        <v>0</v>
      </c>
      <c r="X19" s="614">
        <f t="shared" si="2"/>
        <v>0</v>
      </c>
      <c r="Y19" s="614">
        <f t="shared" si="2"/>
        <v>0</v>
      </c>
      <c r="Z19" s="623"/>
    </row>
    <row r="20" spans="2:27" x14ac:dyDescent="0.2">
      <c r="B20" s="612"/>
      <c r="C20" s="614"/>
      <c r="D20" s="631"/>
      <c r="E20" s="618"/>
      <c r="F20" s="612"/>
      <c r="G20" s="614"/>
      <c r="H20" s="614"/>
      <c r="I20" s="614"/>
      <c r="J20" s="614"/>
      <c r="K20" s="614"/>
      <c r="L20" s="614"/>
      <c r="M20" s="614"/>
      <c r="N20" s="614"/>
      <c r="O20" s="614"/>
      <c r="P20" s="614"/>
      <c r="Q20" s="614"/>
      <c r="R20" s="614"/>
      <c r="S20" s="614"/>
      <c r="T20" s="614"/>
      <c r="U20" s="614"/>
      <c r="V20" s="614"/>
      <c r="W20" s="614"/>
      <c r="X20" s="614"/>
      <c r="Y20" s="614"/>
      <c r="Z20" s="623"/>
    </row>
    <row r="21" spans="2:27" x14ac:dyDescent="0.2">
      <c r="B21" s="612"/>
      <c r="C21" s="614"/>
      <c r="D21" s="631"/>
      <c r="E21" s="618"/>
      <c r="F21" s="612"/>
      <c r="G21" s="614"/>
      <c r="H21" s="614"/>
      <c r="I21" s="614"/>
      <c r="J21" s="614"/>
      <c r="K21" s="614"/>
      <c r="L21" s="614"/>
      <c r="M21" s="614"/>
      <c r="N21" s="614"/>
      <c r="O21" s="614"/>
      <c r="P21" s="614"/>
      <c r="Q21" s="614"/>
      <c r="R21" s="614"/>
      <c r="S21" s="614"/>
      <c r="T21" s="614"/>
      <c r="U21" s="614"/>
      <c r="V21" s="614"/>
      <c r="W21" s="614"/>
      <c r="X21" s="614"/>
      <c r="Y21" s="614"/>
      <c r="Z21" s="623"/>
    </row>
    <row r="22" spans="2:27" x14ac:dyDescent="0.2">
      <c r="B22" s="612"/>
      <c r="C22" s="614"/>
      <c r="D22" s="631"/>
      <c r="E22" s="618"/>
      <c r="F22" s="612"/>
      <c r="G22" s="614"/>
      <c r="H22" s="614"/>
      <c r="I22" s="614"/>
      <c r="J22" s="614"/>
      <c r="K22" s="614"/>
      <c r="L22" s="614"/>
      <c r="M22" s="614"/>
      <c r="N22" s="614"/>
      <c r="O22" s="614"/>
      <c r="P22" s="614"/>
      <c r="Q22" s="614"/>
      <c r="R22" s="614"/>
      <c r="S22" s="614"/>
      <c r="T22" s="614"/>
      <c r="U22" s="614"/>
      <c r="V22" s="614"/>
      <c r="W22" s="614"/>
      <c r="X22" s="614"/>
      <c r="Y22" s="614"/>
      <c r="Z22" s="623"/>
    </row>
    <row r="23" spans="2:27" x14ac:dyDescent="0.2">
      <c r="B23" s="612"/>
      <c r="C23" s="614"/>
      <c r="D23" s="631"/>
      <c r="E23" s="618"/>
      <c r="F23" s="612"/>
      <c r="G23" s="614"/>
      <c r="H23" s="614"/>
      <c r="I23" s="614"/>
      <c r="J23" s="614"/>
      <c r="K23" s="614"/>
      <c r="L23" s="614"/>
      <c r="M23" s="614"/>
      <c r="N23" s="614"/>
      <c r="O23" s="614"/>
      <c r="P23" s="614"/>
      <c r="Q23" s="614"/>
      <c r="R23" s="614"/>
      <c r="S23" s="614"/>
      <c r="T23" s="614"/>
      <c r="U23" s="614"/>
      <c r="V23" s="614"/>
      <c r="W23" s="614"/>
      <c r="X23" s="614"/>
      <c r="Y23" s="614"/>
      <c r="Z23" s="623"/>
    </row>
    <row r="24" spans="2:27" x14ac:dyDescent="0.2">
      <c r="B24" s="83">
        <v>1</v>
      </c>
      <c r="C24" s="84" t="str">
        <f>C9</f>
        <v>Zámek č.p. 1</v>
      </c>
      <c r="D24" s="99">
        <f t="shared" ref="D24:D27" si="3">SUM(F24:Z24)</f>
        <v>0</v>
      </c>
      <c r="E24" s="135" t="s">
        <v>65</v>
      </c>
      <c r="F24" s="86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8"/>
    </row>
    <row r="25" spans="2:27" x14ac:dyDescent="0.2">
      <c r="B25" s="83">
        <v>2</v>
      </c>
      <c r="C25" s="84" t="str">
        <f>C10</f>
        <v>Radnice č.p. 8</v>
      </c>
      <c r="D25" s="99">
        <f t="shared" si="3"/>
        <v>0</v>
      </c>
      <c r="E25" s="135" t="s">
        <v>65</v>
      </c>
      <c r="F25" s="86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8"/>
    </row>
    <row r="26" spans="2:27" x14ac:dyDescent="0.2">
      <c r="B26" s="83">
        <v>3</v>
      </c>
      <c r="C26" s="84" t="str">
        <f>C11</f>
        <v>ZŠ Nám. Míru</v>
      </c>
      <c r="D26" s="99">
        <f t="shared" si="3"/>
        <v>0</v>
      </c>
      <c r="E26" s="135" t="s">
        <v>65</v>
      </c>
      <c r="F26" s="86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8"/>
    </row>
    <row r="27" spans="2:27" x14ac:dyDescent="0.2">
      <c r="B27" s="83">
        <v>4</v>
      </c>
      <c r="C27" s="84" t="str">
        <f>C12</f>
        <v>ZŠ Školní</v>
      </c>
      <c r="D27" s="99">
        <f t="shared" si="3"/>
        <v>0</v>
      </c>
      <c r="E27" s="135" t="s">
        <v>65</v>
      </c>
      <c r="F27" s="86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8"/>
    </row>
    <row r="28" spans="2:27" ht="13.5" thickBot="1" x14ac:dyDescent="0.25">
      <c r="B28" s="89">
        <v>5</v>
      </c>
      <c r="C28" s="90" t="str">
        <f>C13</f>
        <v>MŠ Letná</v>
      </c>
      <c r="D28" s="100">
        <f t="shared" ref="D28" si="4">SUM(F28:Z28)</f>
        <v>0</v>
      </c>
      <c r="E28" s="134" t="s">
        <v>65</v>
      </c>
      <c r="F28" s="92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4"/>
    </row>
    <row r="29" spans="2:27" ht="13.5" thickBot="1" x14ac:dyDescent="0.25">
      <c r="B29" s="624" t="s">
        <v>66</v>
      </c>
      <c r="C29" s="625"/>
      <c r="D29" s="95">
        <f>SUM(D24:D28)</f>
        <v>0</v>
      </c>
      <c r="E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</row>
    <row r="30" spans="2:27" x14ac:dyDescent="0.2"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</row>
    <row r="31" spans="2:27" ht="13.5" thickBot="1" x14ac:dyDescent="0.25"/>
    <row r="32" spans="2:27" ht="13.5" thickBot="1" x14ac:dyDescent="0.25">
      <c r="B32" s="101" t="s">
        <v>71</v>
      </c>
      <c r="C32" s="102"/>
      <c r="D32" s="626" t="s">
        <v>140</v>
      </c>
      <c r="E32" s="627"/>
      <c r="F32" s="628"/>
      <c r="G32" s="628"/>
      <c r="H32" s="628"/>
      <c r="I32" s="629"/>
    </row>
    <row r="33" spans="2:13" ht="15.75" customHeight="1" x14ac:dyDescent="0.2">
      <c r="B33" s="612" t="s">
        <v>40</v>
      </c>
      <c r="C33" s="643" t="s">
        <v>72</v>
      </c>
      <c r="D33" s="644" t="s">
        <v>69</v>
      </c>
      <c r="E33" s="103"/>
      <c r="F33" s="645" t="s">
        <v>73</v>
      </c>
      <c r="G33" s="641" t="s">
        <v>74</v>
      </c>
      <c r="H33" s="641" t="s">
        <v>75</v>
      </c>
      <c r="I33" s="634" t="s">
        <v>76</v>
      </c>
    </row>
    <row r="34" spans="2:13" ht="15.75" customHeight="1" x14ac:dyDescent="0.2">
      <c r="B34" s="612"/>
      <c r="C34" s="643"/>
      <c r="D34" s="644"/>
      <c r="E34" s="104"/>
      <c r="F34" s="646"/>
      <c r="G34" s="642"/>
      <c r="H34" s="642"/>
      <c r="I34" s="635"/>
    </row>
    <row r="35" spans="2:13" ht="18.75" customHeight="1" x14ac:dyDescent="0.2">
      <c r="B35" s="612"/>
      <c r="C35" s="643"/>
      <c r="D35" s="644"/>
      <c r="E35" s="105"/>
      <c r="F35" s="106" t="s">
        <v>77</v>
      </c>
      <c r="G35" s="107" t="s">
        <v>139</v>
      </c>
      <c r="H35" s="107" t="s">
        <v>77</v>
      </c>
      <c r="I35" s="108" t="s">
        <v>82</v>
      </c>
    </row>
    <row r="36" spans="2:13" x14ac:dyDescent="0.2">
      <c r="B36" s="83">
        <v>1</v>
      </c>
      <c r="C36" s="109" t="str">
        <f t="shared" ref="C36:D40" si="5">C24</f>
        <v>Zámek č.p. 1</v>
      </c>
      <c r="D36" s="110">
        <f t="shared" si="5"/>
        <v>0</v>
      </c>
      <c r="E36" s="136" t="s">
        <v>65</v>
      </c>
      <c r="F36" s="86"/>
      <c r="G36" s="87"/>
      <c r="H36" s="87"/>
      <c r="I36" s="88"/>
    </row>
    <row r="37" spans="2:13" x14ac:dyDescent="0.2">
      <c r="B37" s="83">
        <v>2</v>
      </c>
      <c r="C37" s="109" t="str">
        <f t="shared" si="5"/>
        <v>Radnice č.p. 8</v>
      </c>
      <c r="D37" s="110">
        <f t="shared" si="5"/>
        <v>0</v>
      </c>
      <c r="E37" s="136" t="s">
        <v>65</v>
      </c>
      <c r="F37" s="86"/>
      <c r="G37" s="87"/>
      <c r="H37" s="87"/>
      <c r="I37" s="88"/>
    </row>
    <row r="38" spans="2:13" x14ac:dyDescent="0.2">
      <c r="B38" s="83">
        <v>3</v>
      </c>
      <c r="C38" s="109" t="str">
        <f t="shared" si="5"/>
        <v>ZŠ Nám. Míru</v>
      </c>
      <c r="D38" s="110">
        <f t="shared" si="5"/>
        <v>0</v>
      </c>
      <c r="E38" s="136" t="s">
        <v>65</v>
      </c>
      <c r="F38" s="86"/>
      <c r="G38" s="87"/>
      <c r="H38" s="87"/>
      <c r="I38" s="88"/>
    </row>
    <row r="39" spans="2:13" x14ac:dyDescent="0.2">
      <c r="B39" s="83">
        <v>4</v>
      </c>
      <c r="C39" s="109" t="str">
        <f t="shared" si="5"/>
        <v>ZŠ Školní</v>
      </c>
      <c r="D39" s="110">
        <f t="shared" si="5"/>
        <v>0</v>
      </c>
      <c r="E39" s="136" t="s">
        <v>65</v>
      </c>
      <c r="F39" s="86"/>
      <c r="G39" s="87"/>
      <c r="H39" s="87"/>
      <c r="I39" s="88"/>
    </row>
    <row r="40" spans="2:13" ht="13.5" thickBot="1" x14ac:dyDescent="0.25">
      <c r="B40" s="83">
        <v>5</v>
      </c>
      <c r="C40" s="109" t="str">
        <f t="shared" si="5"/>
        <v>MŠ Letná</v>
      </c>
      <c r="D40" s="110">
        <f t="shared" si="5"/>
        <v>0</v>
      </c>
      <c r="E40" s="136" t="s">
        <v>65</v>
      </c>
      <c r="F40" s="86"/>
      <c r="G40" s="87"/>
      <c r="H40" s="87"/>
      <c r="I40" s="88"/>
    </row>
    <row r="41" spans="2:13" ht="13.5" thickBot="1" x14ac:dyDescent="0.25">
      <c r="B41" s="632" t="s">
        <v>66</v>
      </c>
      <c r="C41" s="633"/>
      <c r="D41" s="112">
        <f>SUM(D36:D40)</f>
        <v>0</v>
      </c>
      <c r="E41" s="113"/>
      <c r="F41" s="114">
        <f>SUM(F36:F40)</f>
        <v>0</v>
      </c>
      <c r="G41" s="115">
        <f>SUM(G36:G40)</f>
        <v>0</v>
      </c>
      <c r="H41" s="115">
        <f>SUM(H36:H40)</f>
        <v>0</v>
      </c>
      <c r="I41" s="116">
        <f>SUM(I36:I40)</f>
        <v>0</v>
      </c>
      <c r="L41" s="117"/>
    </row>
    <row r="44" spans="2:13" ht="13.5" thickBot="1" x14ac:dyDescent="0.25">
      <c r="B44" s="118" t="s">
        <v>78</v>
      </c>
      <c r="C44" s="119"/>
      <c r="D44" s="120"/>
      <c r="E44" s="120"/>
      <c r="F44" s="120"/>
      <c r="G44" s="120"/>
      <c r="H44" s="120"/>
      <c r="I44" s="120"/>
      <c r="J44" s="121"/>
    </row>
    <row r="45" spans="2:13" ht="17.25" customHeight="1" thickBot="1" x14ac:dyDescent="0.25">
      <c r="B45" s="611" t="s">
        <v>40</v>
      </c>
      <c r="C45" s="613" t="s">
        <v>72</v>
      </c>
      <c r="D45" s="636" t="s">
        <v>69</v>
      </c>
      <c r="E45" s="122"/>
      <c r="F45" s="638" t="s">
        <v>79</v>
      </c>
      <c r="G45" s="639"/>
      <c r="H45" s="639"/>
      <c r="I45" s="639"/>
      <c r="J45" s="640"/>
    </row>
    <row r="46" spans="2:13" ht="43.5" customHeight="1" x14ac:dyDescent="0.2">
      <c r="B46" s="612"/>
      <c r="C46" s="614"/>
      <c r="D46" s="637"/>
      <c r="E46" s="123"/>
      <c r="F46" s="124" t="s">
        <v>73</v>
      </c>
      <c r="G46" s="125" t="s">
        <v>74</v>
      </c>
      <c r="H46" s="125" t="s">
        <v>75</v>
      </c>
      <c r="I46" s="125" t="s">
        <v>76</v>
      </c>
      <c r="J46" s="126" t="s">
        <v>80</v>
      </c>
      <c r="L46" s="111" t="s">
        <v>81</v>
      </c>
    </row>
    <row r="47" spans="2:13" x14ac:dyDescent="0.2">
      <c r="B47" s="83">
        <v>1</v>
      </c>
      <c r="C47" s="127" t="str">
        <f>C36</f>
        <v>Zámek č.p. 1</v>
      </c>
      <c r="D47" s="128">
        <f t="shared" ref="D47:D49" si="6">SUM(F47:J47)</f>
        <v>0</v>
      </c>
      <c r="E47" s="136" t="s">
        <v>65</v>
      </c>
      <c r="F47" s="86"/>
      <c r="G47" s="87"/>
      <c r="H47" s="87"/>
      <c r="I47" s="87"/>
      <c r="J47" s="88"/>
      <c r="L47" s="117" t="str">
        <f t="shared" ref="L47:L52" si="7">IF(D47=D24,"OK","!")</f>
        <v>OK</v>
      </c>
      <c r="M47" s="74" t="str">
        <f t="shared" ref="M47:M52" si="8">CONCATENATE("(Buňka ",ADDRESS(ROW(D47),COLUMN(D47),4)," se musí rovnat buňce ",ADDRESS(ROW(D24),COLUMN(D24),4),")")</f>
        <v>(Buňka D47 se musí rovnat buňce D24)</v>
      </c>
    </row>
    <row r="48" spans="2:13" x14ac:dyDescent="0.2">
      <c r="B48" s="83">
        <v>2</v>
      </c>
      <c r="C48" s="127" t="str">
        <f>C37</f>
        <v>Radnice č.p. 8</v>
      </c>
      <c r="D48" s="128">
        <f t="shared" si="6"/>
        <v>0</v>
      </c>
      <c r="E48" s="136" t="s">
        <v>65</v>
      </c>
      <c r="F48" s="86"/>
      <c r="G48" s="87"/>
      <c r="H48" s="87"/>
      <c r="I48" s="87"/>
      <c r="J48" s="88"/>
      <c r="L48" s="117" t="str">
        <f t="shared" si="7"/>
        <v>OK</v>
      </c>
      <c r="M48" s="74" t="str">
        <f t="shared" si="8"/>
        <v>(Buňka D48 se musí rovnat buňce D25)</v>
      </c>
    </row>
    <row r="49" spans="2:13" x14ac:dyDescent="0.2">
      <c r="B49" s="83">
        <v>3</v>
      </c>
      <c r="C49" s="127" t="str">
        <f>C38</f>
        <v>ZŠ Nám. Míru</v>
      </c>
      <c r="D49" s="128">
        <f t="shared" si="6"/>
        <v>0</v>
      </c>
      <c r="E49" s="136" t="s">
        <v>65</v>
      </c>
      <c r="F49" s="86"/>
      <c r="G49" s="87"/>
      <c r="H49" s="87"/>
      <c r="I49" s="87"/>
      <c r="J49" s="88"/>
      <c r="L49" s="117" t="str">
        <f t="shared" si="7"/>
        <v>OK</v>
      </c>
      <c r="M49" s="74" t="str">
        <f t="shared" si="8"/>
        <v>(Buňka D49 se musí rovnat buňce D26)</v>
      </c>
    </row>
    <row r="50" spans="2:13" x14ac:dyDescent="0.2">
      <c r="B50" s="83">
        <v>4</v>
      </c>
      <c r="C50" s="127" t="str">
        <f>C39</f>
        <v>ZŠ Školní</v>
      </c>
      <c r="D50" s="128">
        <f t="shared" ref="D50:D51" si="9">SUM(F50:J50)</f>
        <v>0</v>
      </c>
      <c r="E50" s="136" t="s">
        <v>65</v>
      </c>
      <c r="F50" s="86"/>
      <c r="G50" s="87"/>
      <c r="H50" s="87"/>
      <c r="I50" s="87"/>
      <c r="J50" s="88"/>
      <c r="L50" s="117" t="str">
        <f t="shared" si="7"/>
        <v>OK</v>
      </c>
      <c r="M50" s="74" t="str">
        <f t="shared" si="8"/>
        <v>(Buňka D50 se musí rovnat buňce D27)</v>
      </c>
    </row>
    <row r="51" spans="2:13" ht="13.5" thickBot="1" x14ac:dyDescent="0.25">
      <c r="B51" s="83">
        <v>5</v>
      </c>
      <c r="C51" s="127" t="str">
        <f>C40</f>
        <v>MŠ Letná</v>
      </c>
      <c r="D51" s="128">
        <f t="shared" si="9"/>
        <v>0</v>
      </c>
      <c r="E51" s="136" t="s">
        <v>65</v>
      </c>
      <c r="F51" s="86"/>
      <c r="G51" s="87"/>
      <c r="H51" s="87"/>
      <c r="I51" s="87"/>
      <c r="J51" s="88"/>
      <c r="L51" s="117" t="str">
        <f t="shared" si="7"/>
        <v>OK</v>
      </c>
      <c r="M51" s="74" t="str">
        <f t="shared" si="8"/>
        <v>(Buňka D51 se musí rovnat buňce D28)</v>
      </c>
    </row>
    <row r="52" spans="2:13" ht="13.5" thickBot="1" x14ac:dyDescent="0.25">
      <c r="B52" s="632" t="s">
        <v>66</v>
      </c>
      <c r="C52" s="633"/>
      <c r="D52" s="129">
        <f>SUM(D47:D51)</f>
        <v>0</v>
      </c>
      <c r="E52" s="113"/>
      <c r="F52" s="130">
        <f>SUM(F47:F51)</f>
        <v>0</v>
      </c>
      <c r="G52" s="131">
        <f>SUM(G47:G51)</f>
        <v>0</v>
      </c>
      <c r="H52" s="131">
        <f>SUM(H47:H51)</f>
        <v>0</v>
      </c>
      <c r="I52" s="131">
        <f>SUM(I47:I51)</f>
        <v>0</v>
      </c>
      <c r="J52" s="132">
        <f>SUM(J47:J51)</f>
        <v>0</v>
      </c>
      <c r="L52" s="117" t="str">
        <f t="shared" si="7"/>
        <v>OK</v>
      </c>
      <c r="M52" s="74" t="str">
        <f t="shared" si="8"/>
        <v>(Buňka D52 se musí rovnat buňce D29)</v>
      </c>
    </row>
  </sheetData>
  <mergeCells count="67">
    <mergeCell ref="B52:C52"/>
    <mergeCell ref="I33:I34"/>
    <mergeCell ref="B41:C41"/>
    <mergeCell ref="B45:B46"/>
    <mergeCell ref="C45:C46"/>
    <mergeCell ref="D45:D46"/>
    <mergeCell ref="F45:J45"/>
    <mergeCell ref="H33:H34"/>
    <mergeCell ref="B33:B35"/>
    <mergeCell ref="C33:C35"/>
    <mergeCell ref="D33:D35"/>
    <mergeCell ref="F33:F34"/>
    <mergeCell ref="G33:G34"/>
    <mergeCell ref="B29:C29"/>
    <mergeCell ref="D32:I32"/>
    <mergeCell ref="V19:V23"/>
    <mergeCell ref="W19:W23"/>
    <mergeCell ref="B18:B23"/>
    <mergeCell ref="C18:C23"/>
    <mergeCell ref="D18:D23"/>
    <mergeCell ref="E18:E23"/>
    <mergeCell ref="R19:R23"/>
    <mergeCell ref="S19:S23"/>
    <mergeCell ref="T19:T23"/>
    <mergeCell ref="U19:U23"/>
    <mergeCell ref="P19:P23"/>
    <mergeCell ref="B14:C14"/>
    <mergeCell ref="D17:Z17"/>
    <mergeCell ref="Q4:Q8"/>
    <mergeCell ref="R4:R8"/>
    <mergeCell ref="S4:S8"/>
    <mergeCell ref="T4:T8"/>
    <mergeCell ref="U4:U8"/>
    <mergeCell ref="V4:V8"/>
    <mergeCell ref="K4:K8"/>
    <mergeCell ref="L4:L8"/>
    <mergeCell ref="M4:M8"/>
    <mergeCell ref="N4:N8"/>
    <mergeCell ref="O4:O8"/>
    <mergeCell ref="P4:P8"/>
    <mergeCell ref="Z18:Z23"/>
    <mergeCell ref="Q19:Q23"/>
    <mergeCell ref="F19:F23"/>
    <mergeCell ref="G19:G23"/>
    <mergeCell ref="H19:H23"/>
    <mergeCell ref="I19:I23"/>
    <mergeCell ref="J19:J23"/>
    <mergeCell ref="K19:K23"/>
    <mergeCell ref="L19:L23"/>
    <mergeCell ref="M19:M23"/>
    <mergeCell ref="N19:N23"/>
    <mergeCell ref="O19:O23"/>
    <mergeCell ref="X19:X23"/>
    <mergeCell ref="Y19:Y23"/>
    <mergeCell ref="D2:Y2"/>
    <mergeCell ref="B3:B8"/>
    <mergeCell ref="C3:C8"/>
    <mergeCell ref="D3:D8"/>
    <mergeCell ref="E3:E8"/>
    <mergeCell ref="F4:F8"/>
    <mergeCell ref="G4:G8"/>
    <mergeCell ref="H4:H8"/>
    <mergeCell ref="I4:I8"/>
    <mergeCell ref="J4:J8"/>
    <mergeCell ref="W4:W8"/>
    <mergeCell ref="X4:X8"/>
    <mergeCell ref="Y4:Y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2:U53"/>
  <sheetViews>
    <sheetView showGridLines="0" topLeftCell="A13" zoomScale="85" zoomScaleNormal="85" workbookViewId="0">
      <selection activeCell="F47" sqref="F47"/>
    </sheetView>
  </sheetViews>
  <sheetFormatPr defaultRowHeight="15" x14ac:dyDescent="0.25"/>
  <cols>
    <col min="1" max="1" width="2.140625" style="142" customWidth="1"/>
    <col min="2" max="2" width="39" style="142" customWidth="1"/>
    <col min="3" max="3" width="9.140625" style="142"/>
    <col min="4" max="5" width="11.28515625" style="142" customWidth="1"/>
    <col min="6" max="6" width="10.28515625" style="142" customWidth="1"/>
    <col min="7" max="7" width="9.7109375" style="142" customWidth="1"/>
    <col min="8" max="8" width="10.140625" style="142" customWidth="1"/>
    <col min="9" max="9" width="9.5703125" style="142" customWidth="1"/>
    <col min="10" max="10" width="10" style="142" customWidth="1"/>
    <col min="11" max="11" width="10.28515625" style="142" customWidth="1"/>
    <col min="12" max="14" width="9.5703125" style="142" customWidth="1"/>
    <col min="15" max="15" width="10.42578125" style="142" customWidth="1"/>
    <col min="16" max="16" width="9.85546875" style="142" customWidth="1"/>
    <col min="17" max="17" width="10" style="142" customWidth="1"/>
    <col min="18" max="18" width="11.5703125" style="142" customWidth="1"/>
    <col min="19" max="19" width="11.42578125" style="142" customWidth="1"/>
    <col min="20" max="20" width="9.85546875" style="142" bestFit="1" customWidth="1"/>
    <col min="21" max="21" width="11.7109375" style="142" customWidth="1"/>
    <col min="22" max="260" width="9.140625" style="142"/>
    <col min="261" max="261" width="31.140625" style="142" customWidth="1"/>
    <col min="262" max="262" width="9.140625" style="142"/>
    <col min="263" max="263" width="11.28515625" style="142" customWidth="1"/>
    <col min="264" max="516" width="9.140625" style="142"/>
    <col min="517" max="517" width="31.140625" style="142" customWidth="1"/>
    <col min="518" max="518" width="9.140625" style="142"/>
    <col min="519" max="519" width="11.28515625" style="142" customWidth="1"/>
    <col min="520" max="772" width="9.140625" style="142"/>
    <col min="773" max="773" width="31.140625" style="142" customWidth="1"/>
    <col min="774" max="774" width="9.140625" style="142"/>
    <col min="775" max="775" width="11.28515625" style="142" customWidth="1"/>
    <col min="776" max="1028" width="9.140625" style="142"/>
    <col min="1029" max="1029" width="31.140625" style="142" customWidth="1"/>
    <col min="1030" max="1030" width="9.140625" style="142"/>
    <col min="1031" max="1031" width="11.28515625" style="142" customWidth="1"/>
    <col min="1032" max="1284" width="9.140625" style="142"/>
    <col min="1285" max="1285" width="31.140625" style="142" customWidth="1"/>
    <col min="1286" max="1286" width="9.140625" style="142"/>
    <col min="1287" max="1287" width="11.28515625" style="142" customWidth="1"/>
    <col min="1288" max="1540" width="9.140625" style="142"/>
    <col min="1541" max="1541" width="31.140625" style="142" customWidth="1"/>
    <col min="1542" max="1542" width="9.140625" style="142"/>
    <col min="1543" max="1543" width="11.28515625" style="142" customWidth="1"/>
    <col min="1544" max="1796" width="9.140625" style="142"/>
    <col min="1797" max="1797" width="31.140625" style="142" customWidth="1"/>
    <col min="1798" max="1798" width="9.140625" style="142"/>
    <col min="1799" max="1799" width="11.28515625" style="142" customWidth="1"/>
    <col min="1800" max="2052" width="9.140625" style="142"/>
    <col min="2053" max="2053" width="31.140625" style="142" customWidth="1"/>
    <col min="2054" max="2054" width="9.140625" style="142"/>
    <col min="2055" max="2055" width="11.28515625" style="142" customWidth="1"/>
    <col min="2056" max="2308" width="9.140625" style="142"/>
    <col min="2309" max="2309" width="31.140625" style="142" customWidth="1"/>
    <col min="2310" max="2310" width="9.140625" style="142"/>
    <col min="2311" max="2311" width="11.28515625" style="142" customWidth="1"/>
    <col min="2312" max="2564" width="9.140625" style="142"/>
    <col min="2565" max="2565" width="31.140625" style="142" customWidth="1"/>
    <col min="2566" max="2566" width="9.140625" style="142"/>
    <col min="2567" max="2567" width="11.28515625" style="142" customWidth="1"/>
    <col min="2568" max="2820" width="9.140625" style="142"/>
    <col min="2821" max="2821" width="31.140625" style="142" customWidth="1"/>
    <col min="2822" max="2822" width="9.140625" style="142"/>
    <col min="2823" max="2823" width="11.28515625" style="142" customWidth="1"/>
    <col min="2824" max="3076" width="9.140625" style="142"/>
    <col min="3077" max="3077" width="31.140625" style="142" customWidth="1"/>
    <col min="3078" max="3078" width="9.140625" style="142"/>
    <col min="3079" max="3079" width="11.28515625" style="142" customWidth="1"/>
    <col min="3080" max="3332" width="9.140625" style="142"/>
    <col min="3333" max="3333" width="31.140625" style="142" customWidth="1"/>
    <col min="3334" max="3334" width="9.140625" style="142"/>
    <col min="3335" max="3335" width="11.28515625" style="142" customWidth="1"/>
    <col min="3336" max="3588" width="9.140625" style="142"/>
    <col min="3589" max="3589" width="31.140625" style="142" customWidth="1"/>
    <col min="3590" max="3590" width="9.140625" style="142"/>
    <col min="3591" max="3591" width="11.28515625" style="142" customWidth="1"/>
    <col min="3592" max="3844" width="9.140625" style="142"/>
    <col min="3845" max="3845" width="31.140625" style="142" customWidth="1"/>
    <col min="3846" max="3846" width="9.140625" style="142"/>
    <col min="3847" max="3847" width="11.28515625" style="142" customWidth="1"/>
    <col min="3848" max="4100" width="9.140625" style="142"/>
    <col min="4101" max="4101" width="31.140625" style="142" customWidth="1"/>
    <col min="4102" max="4102" width="9.140625" style="142"/>
    <col min="4103" max="4103" width="11.28515625" style="142" customWidth="1"/>
    <col min="4104" max="4356" width="9.140625" style="142"/>
    <col min="4357" max="4357" width="31.140625" style="142" customWidth="1"/>
    <col min="4358" max="4358" width="9.140625" style="142"/>
    <col min="4359" max="4359" width="11.28515625" style="142" customWidth="1"/>
    <col min="4360" max="4612" width="9.140625" style="142"/>
    <col min="4613" max="4613" width="31.140625" style="142" customWidth="1"/>
    <col min="4614" max="4614" width="9.140625" style="142"/>
    <col min="4615" max="4615" width="11.28515625" style="142" customWidth="1"/>
    <col min="4616" max="4868" width="9.140625" style="142"/>
    <col min="4869" max="4869" width="31.140625" style="142" customWidth="1"/>
    <col min="4870" max="4870" width="9.140625" style="142"/>
    <col min="4871" max="4871" width="11.28515625" style="142" customWidth="1"/>
    <col min="4872" max="5124" width="9.140625" style="142"/>
    <col min="5125" max="5125" width="31.140625" style="142" customWidth="1"/>
    <col min="5126" max="5126" width="9.140625" style="142"/>
    <col min="5127" max="5127" width="11.28515625" style="142" customWidth="1"/>
    <col min="5128" max="5380" width="9.140625" style="142"/>
    <col min="5381" max="5381" width="31.140625" style="142" customWidth="1"/>
    <col min="5382" max="5382" width="9.140625" style="142"/>
    <col min="5383" max="5383" width="11.28515625" style="142" customWidth="1"/>
    <col min="5384" max="5636" width="9.140625" style="142"/>
    <col min="5637" max="5637" width="31.140625" style="142" customWidth="1"/>
    <col min="5638" max="5638" width="9.140625" style="142"/>
    <col min="5639" max="5639" width="11.28515625" style="142" customWidth="1"/>
    <col min="5640" max="5892" width="9.140625" style="142"/>
    <col min="5893" max="5893" width="31.140625" style="142" customWidth="1"/>
    <col min="5894" max="5894" width="9.140625" style="142"/>
    <col min="5895" max="5895" width="11.28515625" style="142" customWidth="1"/>
    <col min="5896" max="6148" width="9.140625" style="142"/>
    <col min="6149" max="6149" width="31.140625" style="142" customWidth="1"/>
    <col min="6150" max="6150" width="9.140625" style="142"/>
    <col min="6151" max="6151" width="11.28515625" style="142" customWidth="1"/>
    <col min="6152" max="6404" width="9.140625" style="142"/>
    <col min="6405" max="6405" width="31.140625" style="142" customWidth="1"/>
    <col min="6406" max="6406" width="9.140625" style="142"/>
    <col min="6407" max="6407" width="11.28515625" style="142" customWidth="1"/>
    <col min="6408" max="6660" width="9.140625" style="142"/>
    <col min="6661" max="6661" width="31.140625" style="142" customWidth="1"/>
    <col min="6662" max="6662" width="9.140625" style="142"/>
    <col min="6663" max="6663" width="11.28515625" style="142" customWidth="1"/>
    <col min="6664" max="6916" width="9.140625" style="142"/>
    <col min="6917" max="6917" width="31.140625" style="142" customWidth="1"/>
    <col min="6918" max="6918" width="9.140625" style="142"/>
    <col min="6919" max="6919" width="11.28515625" style="142" customWidth="1"/>
    <col min="6920" max="7172" width="9.140625" style="142"/>
    <col min="7173" max="7173" width="31.140625" style="142" customWidth="1"/>
    <col min="7174" max="7174" width="9.140625" style="142"/>
    <col min="7175" max="7175" width="11.28515625" style="142" customWidth="1"/>
    <col min="7176" max="7428" width="9.140625" style="142"/>
    <col min="7429" max="7429" width="31.140625" style="142" customWidth="1"/>
    <col min="7430" max="7430" width="9.140625" style="142"/>
    <col min="7431" max="7431" width="11.28515625" style="142" customWidth="1"/>
    <col min="7432" max="7684" width="9.140625" style="142"/>
    <col min="7685" max="7685" width="31.140625" style="142" customWidth="1"/>
    <col min="7686" max="7686" width="9.140625" style="142"/>
    <col min="7687" max="7687" width="11.28515625" style="142" customWidth="1"/>
    <col min="7688" max="7940" width="9.140625" style="142"/>
    <col min="7941" max="7941" width="31.140625" style="142" customWidth="1"/>
    <col min="7942" max="7942" width="9.140625" style="142"/>
    <col min="7943" max="7943" width="11.28515625" style="142" customWidth="1"/>
    <col min="7944" max="8196" width="9.140625" style="142"/>
    <col min="8197" max="8197" width="31.140625" style="142" customWidth="1"/>
    <col min="8198" max="8198" width="9.140625" style="142"/>
    <col min="8199" max="8199" width="11.28515625" style="142" customWidth="1"/>
    <col min="8200" max="8452" width="9.140625" style="142"/>
    <col min="8453" max="8453" width="31.140625" style="142" customWidth="1"/>
    <col min="8454" max="8454" width="9.140625" style="142"/>
    <col min="8455" max="8455" width="11.28515625" style="142" customWidth="1"/>
    <col min="8456" max="8708" width="9.140625" style="142"/>
    <col min="8709" max="8709" width="31.140625" style="142" customWidth="1"/>
    <col min="8710" max="8710" width="9.140625" style="142"/>
    <col min="8711" max="8711" width="11.28515625" style="142" customWidth="1"/>
    <col min="8712" max="8964" width="9.140625" style="142"/>
    <col min="8965" max="8965" width="31.140625" style="142" customWidth="1"/>
    <col min="8966" max="8966" width="9.140625" style="142"/>
    <col min="8967" max="8967" width="11.28515625" style="142" customWidth="1"/>
    <col min="8968" max="9220" width="9.140625" style="142"/>
    <col min="9221" max="9221" width="31.140625" style="142" customWidth="1"/>
    <col min="9222" max="9222" width="9.140625" style="142"/>
    <col min="9223" max="9223" width="11.28515625" style="142" customWidth="1"/>
    <col min="9224" max="9476" width="9.140625" style="142"/>
    <col min="9477" max="9477" width="31.140625" style="142" customWidth="1"/>
    <col min="9478" max="9478" width="9.140625" style="142"/>
    <col min="9479" max="9479" width="11.28515625" style="142" customWidth="1"/>
    <col min="9480" max="9732" width="9.140625" style="142"/>
    <col min="9733" max="9733" width="31.140625" style="142" customWidth="1"/>
    <col min="9734" max="9734" width="9.140625" style="142"/>
    <col min="9735" max="9735" width="11.28515625" style="142" customWidth="1"/>
    <col min="9736" max="9988" width="9.140625" style="142"/>
    <col min="9989" max="9989" width="31.140625" style="142" customWidth="1"/>
    <col min="9990" max="9990" width="9.140625" style="142"/>
    <col min="9991" max="9991" width="11.28515625" style="142" customWidth="1"/>
    <col min="9992" max="10244" width="9.140625" style="142"/>
    <col min="10245" max="10245" width="31.140625" style="142" customWidth="1"/>
    <col min="10246" max="10246" width="9.140625" style="142"/>
    <col min="10247" max="10247" width="11.28515625" style="142" customWidth="1"/>
    <col min="10248" max="10500" width="9.140625" style="142"/>
    <col min="10501" max="10501" width="31.140625" style="142" customWidth="1"/>
    <col min="10502" max="10502" width="9.140625" style="142"/>
    <col min="10503" max="10503" width="11.28515625" style="142" customWidth="1"/>
    <col min="10504" max="10756" width="9.140625" style="142"/>
    <col min="10757" max="10757" width="31.140625" style="142" customWidth="1"/>
    <col min="10758" max="10758" width="9.140625" style="142"/>
    <col min="10759" max="10759" width="11.28515625" style="142" customWidth="1"/>
    <col min="10760" max="11012" width="9.140625" style="142"/>
    <col min="11013" max="11013" width="31.140625" style="142" customWidth="1"/>
    <col min="11014" max="11014" width="9.140625" style="142"/>
    <col min="11015" max="11015" width="11.28515625" style="142" customWidth="1"/>
    <col min="11016" max="11268" width="9.140625" style="142"/>
    <col min="11269" max="11269" width="31.140625" style="142" customWidth="1"/>
    <col min="11270" max="11270" width="9.140625" style="142"/>
    <col min="11271" max="11271" width="11.28515625" style="142" customWidth="1"/>
    <col min="11272" max="11524" width="9.140625" style="142"/>
    <col min="11525" max="11525" width="31.140625" style="142" customWidth="1"/>
    <col min="11526" max="11526" width="9.140625" style="142"/>
    <col min="11527" max="11527" width="11.28515625" style="142" customWidth="1"/>
    <col min="11528" max="11780" width="9.140625" style="142"/>
    <col min="11781" max="11781" width="31.140625" style="142" customWidth="1"/>
    <col min="11782" max="11782" width="9.140625" style="142"/>
    <col min="11783" max="11783" width="11.28515625" style="142" customWidth="1"/>
    <col min="11784" max="12036" width="9.140625" style="142"/>
    <col min="12037" max="12037" width="31.140625" style="142" customWidth="1"/>
    <col min="12038" max="12038" width="9.140625" style="142"/>
    <col min="12039" max="12039" width="11.28515625" style="142" customWidth="1"/>
    <col min="12040" max="12292" width="9.140625" style="142"/>
    <col min="12293" max="12293" width="31.140625" style="142" customWidth="1"/>
    <col min="12294" max="12294" width="9.140625" style="142"/>
    <col min="12295" max="12295" width="11.28515625" style="142" customWidth="1"/>
    <col min="12296" max="12548" width="9.140625" style="142"/>
    <col min="12549" max="12549" width="31.140625" style="142" customWidth="1"/>
    <col min="12550" max="12550" width="9.140625" style="142"/>
    <col min="12551" max="12551" width="11.28515625" style="142" customWidth="1"/>
    <col min="12552" max="12804" width="9.140625" style="142"/>
    <col min="12805" max="12805" width="31.140625" style="142" customWidth="1"/>
    <col min="12806" max="12806" width="9.140625" style="142"/>
    <col min="12807" max="12807" width="11.28515625" style="142" customWidth="1"/>
    <col min="12808" max="13060" width="9.140625" style="142"/>
    <col min="13061" max="13061" width="31.140625" style="142" customWidth="1"/>
    <col min="13062" max="13062" width="9.140625" style="142"/>
    <col min="13063" max="13063" width="11.28515625" style="142" customWidth="1"/>
    <col min="13064" max="13316" width="9.140625" style="142"/>
    <col min="13317" max="13317" width="31.140625" style="142" customWidth="1"/>
    <col min="13318" max="13318" width="9.140625" style="142"/>
    <col min="13319" max="13319" width="11.28515625" style="142" customWidth="1"/>
    <col min="13320" max="13572" width="9.140625" style="142"/>
    <col min="13573" max="13573" width="31.140625" style="142" customWidth="1"/>
    <col min="13574" max="13574" width="9.140625" style="142"/>
    <col min="13575" max="13575" width="11.28515625" style="142" customWidth="1"/>
    <col min="13576" max="13828" width="9.140625" style="142"/>
    <col min="13829" max="13829" width="31.140625" style="142" customWidth="1"/>
    <col min="13830" max="13830" width="9.140625" style="142"/>
    <col min="13831" max="13831" width="11.28515625" style="142" customWidth="1"/>
    <col min="13832" max="14084" width="9.140625" style="142"/>
    <col min="14085" max="14085" width="31.140625" style="142" customWidth="1"/>
    <col min="14086" max="14086" width="9.140625" style="142"/>
    <col min="14087" max="14087" width="11.28515625" style="142" customWidth="1"/>
    <col min="14088" max="14340" width="9.140625" style="142"/>
    <col min="14341" max="14341" width="31.140625" style="142" customWidth="1"/>
    <col min="14342" max="14342" width="9.140625" style="142"/>
    <col min="14343" max="14343" width="11.28515625" style="142" customWidth="1"/>
    <col min="14344" max="14596" width="9.140625" style="142"/>
    <col min="14597" max="14597" width="31.140625" style="142" customWidth="1"/>
    <col min="14598" max="14598" width="9.140625" style="142"/>
    <col min="14599" max="14599" width="11.28515625" style="142" customWidth="1"/>
    <col min="14600" max="14852" width="9.140625" style="142"/>
    <col min="14853" max="14853" width="31.140625" style="142" customWidth="1"/>
    <col min="14854" max="14854" width="9.140625" style="142"/>
    <col min="14855" max="14855" width="11.28515625" style="142" customWidth="1"/>
    <col min="14856" max="15108" width="9.140625" style="142"/>
    <col min="15109" max="15109" width="31.140625" style="142" customWidth="1"/>
    <col min="15110" max="15110" width="9.140625" style="142"/>
    <col min="15111" max="15111" width="11.28515625" style="142" customWidth="1"/>
    <col min="15112" max="15364" width="9.140625" style="142"/>
    <col min="15365" max="15365" width="31.140625" style="142" customWidth="1"/>
    <col min="15366" max="15366" width="9.140625" style="142"/>
    <col min="15367" max="15367" width="11.28515625" style="142" customWidth="1"/>
    <col min="15368" max="15620" width="9.140625" style="142"/>
    <col min="15621" max="15621" width="31.140625" style="142" customWidth="1"/>
    <col min="15622" max="15622" width="9.140625" style="142"/>
    <col min="15623" max="15623" width="11.28515625" style="142" customWidth="1"/>
    <col min="15624" max="15876" width="9.140625" style="142"/>
    <col min="15877" max="15877" width="31.140625" style="142" customWidth="1"/>
    <col min="15878" max="15878" width="9.140625" style="142"/>
    <col min="15879" max="15879" width="11.28515625" style="142" customWidth="1"/>
    <col min="15880" max="16132" width="9.140625" style="142"/>
    <col min="16133" max="16133" width="31.140625" style="142" customWidth="1"/>
    <col min="16134" max="16134" width="9.140625" style="142"/>
    <col min="16135" max="16135" width="11.28515625" style="142" customWidth="1"/>
    <col min="16136" max="16384" width="9.140625" style="142"/>
  </cols>
  <sheetData>
    <row r="2" spans="2:19" x14ac:dyDescent="0.25">
      <c r="B2" s="137" t="s">
        <v>83</v>
      </c>
      <c r="C2" s="138">
        <v>12</v>
      </c>
      <c r="D2" s="139"/>
      <c r="E2" s="140"/>
      <c r="F2" s="140">
        <v>1</v>
      </c>
      <c r="G2" s="141">
        <v>2</v>
      </c>
      <c r="H2" s="140">
        <v>3</v>
      </c>
      <c r="I2" s="141">
        <v>4</v>
      </c>
      <c r="J2" s="140">
        <v>5</v>
      </c>
      <c r="K2" s="141">
        <v>6</v>
      </c>
      <c r="L2" s="140">
        <v>7</v>
      </c>
      <c r="M2" s="141">
        <v>8</v>
      </c>
      <c r="N2" s="140">
        <v>9</v>
      </c>
      <c r="O2" s="141">
        <v>10</v>
      </c>
      <c r="P2" s="140">
        <v>11</v>
      </c>
      <c r="Q2" s="141">
        <v>12</v>
      </c>
      <c r="R2" s="648" t="s">
        <v>84</v>
      </c>
    </row>
    <row r="3" spans="2:19" ht="27" customHeight="1" thickBot="1" x14ac:dyDescent="0.3">
      <c r="B3" s="143"/>
      <c r="C3" s="144" t="s">
        <v>85</v>
      </c>
      <c r="D3" s="145">
        <v>2017</v>
      </c>
      <c r="E3" s="145" t="s">
        <v>175</v>
      </c>
      <c r="F3" s="145">
        <v>2020</v>
      </c>
      <c r="G3" s="145">
        <f t="shared" ref="G3:O3" si="0">F3+1</f>
        <v>2021</v>
      </c>
      <c r="H3" s="145">
        <f t="shared" si="0"/>
        <v>2022</v>
      </c>
      <c r="I3" s="145">
        <f t="shared" si="0"/>
        <v>2023</v>
      </c>
      <c r="J3" s="145">
        <f t="shared" si="0"/>
        <v>2024</v>
      </c>
      <c r="K3" s="145">
        <f t="shared" si="0"/>
        <v>2025</v>
      </c>
      <c r="L3" s="145">
        <f t="shared" si="0"/>
        <v>2026</v>
      </c>
      <c r="M3" s="145">
        <f t="shared" si="0"/>
        <v>2027</v>
      </c>
      <c r="N3" s="145">
        <f t="shared" si="0"/>
        <v>2028</v>
      </c>
      <c r="O3" s="145">
        <f t="shared" si="0"/>
        <v>2029</v>
      </c>
      <c r="P3" s="145">
        <f t="shared" ref="P3:Q3" si="1">O3+1</f>
        <v>2030</v>
      </c>
      <c r="Q3" s="145">
        <f t="shared" si="1"/>
        <v>2031</v>
      </c>
      <c r="R3" s="648"/>
    </row>
    <row r="4" spans="2:19" ht="15.75" x14ac:dyDescent="0.25">
      <c r="B4" s="649" t="s">
        <v>167</v>
      </c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1"/>
    </row>
    <row r="5" spans="2:19" x14ac:dyDescent="0.25">
      <c r="B5" s="146" t="s">
        <v>86</v>
      </c>
      <c r="C5" s="147">
        <v>1</v>
      </c>
      <c r="D5" s="148">
        <f>'REFERENČNÍ SPOTŘEBY'!K12</f>
        <v>425649</v>
      </c>
      <c r="E5" s="149">
        <f>D5</f>
        <v>425649</v>
      </c>
      <c r="F5" s="149">
        <f t="shared" ref="F5:Q13" si="2">$D5</f>
        <v>425649</v>
      </c>
      <c r="G5" s="149">
        <f t="shared" si="2"/>
        <v>425649</v>
      </c>
      <c r="H5" s="149">
        <f t="shared" si="2"/>
        <v>425649</v>
      </c>
      <c r="I5" s="149">
        <f t="shared" si="2"/>
        <v>425649</v>
      </c>
      <c r="J5" s="149">
        <f t="shared" si="2"/>
        <v>425649</v>
      </c>
      <c r="K5" s="149">
        <f t="shared" si="2"/>
        <v>425649</v>
      </c>
      <c r="L5" s="149">
        <f t="shared" si="2"/>
        <v>425649</v>
      </c>
      <c r="M5" s="149">
        <f t="shared" si="2"/>
        <v>425649</v>
      </c>
      <c r="N5" s="149">
        <f t="shared" si="2"/>
        <v>425649</v>
      </c>
      <c r="O5" s="149">
        <f t="shared" si="2"/>
        <v>425649</v>
      </c>
      <c r="P5" s="149">
        <f t="shared" si="2"/>
        <v>425649</v>
      </c>
      <c r="Q5" s="150">
        <f t="shared" si="2"/>
        <v>425649</v>
      </c>
      <c r="R5" s="96">
        <f>SUM(F5:Q5)</f>
        <v>5107788</v>
      </c>
    </row>
    <row r="6" spans="2:19" x14ac:dyDescent="0.25">
      <c r="B6" s="151" t="s">
        <v>87</v>
      </c>
      <c r="C6" s="152">
        <v>2</v>
      </c>
      <c r="D6" s="148">
        <f>'REFERENČNÍ SPOTŘEBY'!O12</f>
        <v>1527964.2689999999</v>
      </c>
      <c r="E6" s="149">
        <f t="shared" ref="E6:E13" si="3">D6</f>
        <v>1527964.2689999999</v>
      </c>
      <c r="F6" s="149">
        <f t="shared" si="2"/>
        <v>1527964.2689999999</v>
      </c>
      <c r="G6" s="149">
        <f t="shared" si="2"/>
        <v>1527964.2689999999</v>
      </c>
      <c r="H6" s="149">
        <f t="shared" si="2"/>
        <v>1527964.2689999999</v>
      </c>
      <c r="I6" s="149">
        <f t="shared" si="2"/>
        <v>1527964.2689999999</v>
      </c>
      <c r="J6" s="149">
        <f t="shared" si="2"/>
        <v>1527964.2689999999</v>
      </c>
      <c r="K6" s="149">
        <f t="shared" si="2"/>
        <v>1527964.2689999999</v>
      </c>
      <c r="L6" s="149">
        <f t="shared" si="2"/>
        <v>1527964.2689999999</v>
      </c>
      <c r="M6" s="149">
        <f t="shared" si="2"/>
        <v>1527964.2689999999</v>
      </c>
      <c r="N6" s="149">
        <f t="shared" si="2"/>
        <v>1527964.2689999999</v>
      </c>
      <c r="O6" s="149">
        <f t="shared" si="2"/>
        <v>1527964.2689999999</v>
      </c>
      <c r="P6" s="149">
        <f t="shared" si="2"/>
        <v>1527964.2689999999</v>
      </c>
      <c r="Q6" s="150">
        <f t="shared" si="2"/>
        <v>1527964.2689999999</v>
      </c>
      <c r="R6" s="96">
        <f t="shared" ref="R6:R13" si="4">SUM(F6:Q6)</f>
        <v>18335571.227999996</v>
      </c>
    </row>
    <row r="7" spans="2:19" x14ac:dyDescent="0.25">
      <c r="B7" s="151" t="s">
        <v>141</v>
      </c>
      <c r="C7" s="152">
        <v>3</v>
      </c>
      <c r="D7" s="148">
        <f>'REFERENČNÍ SPOTŘEBY'!G12</f>
        <v>3680.92</v>
      </c>
      <c r="E7" s="149">
        <f t="shared" si="3"/>
        <v>3680.92</v>
      </c>
      <c r="F7" s="149">
        <f t="shared" si="2"/>
        <v>3680.92</v>
      </c>
      <c r="G7" s="149">
        <f t="shared" si="2"/>
        <v>3680.92</v>
      </c>
      <c r="H7" s="149">
        <f t="shared" si="2"/>
        <v>3680.92</v>
      </c>
      <c r="I7" s="149">
        <f t="shared" si="2"/>
        <v>3680.92</v>
      </c>
      <c r="J7" s="149">
        <f t="shared" si="2"/>
        <v>3680.92</v>
      </c>
      <c r="K7" s="149">
        <f t="shared" si="2"/>
        <v>3680.92</v>
      </c>
      <c r="L7" s="149">
        <f t="shared" si="2"/>
        <v>3680.92</v>
      </c>
      <c r="M7" s="149">
        <f t="shared" si="2"/>
        <v>3680.92</v>
      </c>
      <c r="N7" s="149">
        <f t="shared" si="2"/>
        <v>3680.92</v>
      </c>
      <c r="O7" s="149">
        <f t="shared" si="2"/>
        <v>3680.92</v>
      </c>
      <c r="P7" s="149">
        <f t="shared" si="2"/>
        <v>3680.92</v>
      </c>
      <c r="Q7" s="150">
        <f t="shared" si="2"/>
        <v>3680.92</v>
      </c>
      <c r="R7" s="96">
        <f t="shared" si="4"/>
        <v>44171.039999999986</v>
      </c>
    </row>
    <row r="8" spans="2:19" ht="16.5" thickBot="1" x14ac:dyDescent="0.3">
      <c r="B8" s="153" t="s">
        <v>136</v>
      </c>
      <c r="C8" s="154">
        <v>4</v>
      </c>
      <c r="D8" s="155">
        <f>'REFERENČNÍ SPOTŘEBY'!T12</f>
        <v>4919</v>
      </c>
      <c r="E8" s="156">
        <f t="shared" si="3"/>
        <v>4919</v>
      </c>
      <c r="F8" s="156">
        <f t="shared" si="2"/>
        <v>4919</v>
      </c>
      <c r="G8" s="156">
        <f t="shared" si="2"/>
        <v>4919</v>
      </c>
      <c r="H8" s="156">
        <f t="shared" si="2"/>
        <v>4919</v>
      </c>
      <c r="I8" s="156">
        <f t="shared" si="2"/>
        <v>4919</v>
      </c>
      <c r="J8" s="156">
        <f t="shared" si="2"/>
        <v>4919</v>
      </c>
      <c r="K8" s="156">
        <f t="shared" si="2"/>
        <v>4919</v>
      </c>
      <c r="L8" s="156">
        <f t="shared" si="2"/>
        <v>4919</v>
      </c>
      <c r="M8" s="156">
        <f t="shared" si="2"/>
        <v>4919</v>
      </c>
      <c r="N8" s="156">
        <f t="shared" si="2"/>
        <v>4919</v>
      </c>
      <c r="O8" s="156">
        <f t="shared" si="2"/>
        <v>4919</v>
      </c>
      <c r="P8" s="156">
        <f t="shared" si="2"/>
        <v>4919</v>
      </c>
      <c r="Q8" s="157">
        <f t="shared" si="2"/>
        <v>4919</v>
      </c>
      <c r="R8" s="96">
        <f t="shared" si="4"/>
        <v>59028</v>
      </c>
    </row>
    <row r="9" spans="2:19" x14ac:dyDescent="0.25">
      <c r="B9" s="158" t="s">
        <v>89</v>
      </c>
      <c r="C9" s="159">
        <v>5</v>
      </c>
      <c r="D9" s="160">
        <f>'REFERENČNÍ SPOTŘEBY'!L12</f>
        <v>1449075.1864402401</v>
      </c>
      <c r="E9" s="161">
        <f t="shared" si="3"/>
        <v>1449075.1864402401</v>
      </c>
      <c r="F9" s="161">
        <f t="shared" si="2"/>
        <v>1449075.1864402401</v>
      </c>
      <c r="G9" s="161">
        <f t="shared" si="2"/>
        <v>1449075.1864402401</v>
      </c>
      <c r="H9" s="161">
        <f t="shared" si="2"/>
        <v>1449075.1864402401</v>
      </c>
      <c r="I9" s="161">
        <f t="shared" si="2"/>
        <v>1449075.1864402401</v>
      </c>
      <c r="J9" s="161">
        <f t="shared" si="2"/>
        <v>1449075.1864402401</v>
      </c>
      <c r="K9" s="161">
        <f t="shared" si="2"/>
        <v>1449075.1864402401</v>
      </c>
      <c r="L9" s="161">
        <f t="shared" si="2"/>
        <v>1449075.1864402401</v>
      </c>
      <c r="M9" s="161">
        <f t="shared" si="2"/>
        <v>1449075.1864402401</v>
      </c>
      <c r="N9" s="161">
        <f t="shared" si="2"/>
        <v>1449075.1864402401</v>
      </c>
      <c r="O9" s="161">
        <f t="shared" si="2"/>
        <v>1449075.1864402401</v>
      </c>
      <c r="P9" s="161">
        <f t="shared" si="2"/>
        <v>1449075.1864402401</v>
      </c>
      <c r="Q9" s="162">
        <f t="shared" si="2"/>
        <v>1449075.1864402401</v>
      </c>
      <c r="R9" s="96">
        <f t="shared" si="4"/>
        <v>17388902.237282883</v>
      </c>
    </row>
    <row r="10" spans="2:19" x14ac:dyDescent="0.25">
      <c r="B10" s="151" t="s">
        <v>90</v>
      </c>
      <c r="C10" s="152">
        <v>6</v>
      </c>
      <c r="D10" s="148">
        <f>'REFERENČNÍ SPOTŘEBY'!Q12</f>
        <v>1216790.8400000001</v>
      </c>
      <c r="E10" s="149">
        <f t="shared" si="3"/>
        <v>1216790.8400000001</v>
      </c>
      <c r="F10" s="149">
        <f t="shared" si="2"/>
        <v>1216790.8400000001</v>
      </c>
      <c r="G10" s="149">
        <f t="shared" si="2"/>
        <v>1216790.8400000001</v>
      </c>
      <c r="H10" s="149">
        <f t="shared" si="2"/>
        <v>1216790.8400000001</v>
      </c>
      <c r="I10" s="149">
        <f t="shared" si="2"/>
        <v>1216790.8400000001</v>
      </c>
      <c r="J10" s="149">
        <f t="shared" si="2"/>
        <v>1216790.8400000001</v>
      </c>
      <c r="K10" s="149">
        <f t="shared" si="2"/>
        <v>1216790.8400000001</v>
      </c>
      <c r="L10" s="149">
        <f t="shared" si="2"/>
        <v>1216790.8400000001</v>
      </c>
      <c r="M10" s="149">
        <f t="shared" si="2"/>
        <v>1216790.8400000001</v>
      </c>
      <c r="N10" s="149">
        <f t="shared" si="2"/>
        <v>1216790.8400000001</v>
      </c>
      <c r="O10" s="149">
        <f t="shared" si="2"/>
        <v>1216790.8400000001</v>
      </c>
      <c r="P10" s="149">
        <f t="shared" si="2"/>
        <v>1216790.8400000001</v>
      </c>
      <c r="Q10" s="150">
        <f t="shared" si="2"/>
        <v>1216790.8400000001</v>
      </c>
      <c r="R10" s="96">
        <f t="shared" si="4"/>
        <v>14601490.08</v>
      </c>
    </row>
    <row r="11" spans="2:19" x14ac:dyDescent="0.25">
      <c r="B11" s="151" t="s">
        <v>91</v>
      </c>
      <c r="C11" s="152">
        <v>7</v>
      </c>
      <c r="D11" s="148">
        <f>'REFERENČNÍ SPOTŘEBY'!H12</f>
        <v>1705517.4728000001</v>
      </c>
      <c r="E11" s="149">
        <f t="shared" si="3"/>
        <v>1705517.4728000001</v>
      </c>
      <c r="F11" s="149">
        <f t="shared" si="2"/>
        <v>1705517.4728000001</v>
      </c>
      <c r="G11" s="149">
        <f t="shared" si="2"/>
        <v>1705517.4728000001</v>
      </c>
      <c r="H11" s="149">
        <f t="shared" si="2"/>
        <v>1705517.4728000001</v>
      </c>
      <c r="I11" s="149">
        <f t="shared" si="2"/>
        <v>1705517.4728000001</v>
      </c>
      <c r="J11" s="149">
        <f t="shared" si="2"/>
        <v>1705517.4728000001</v>
      </c>
      <c r="K11" s="149">
        <f t="shared" si="2"/>
        <v>1705517.4728000001</v>
      </c>
      <c r="L11" s="149">
        <f t="shared" si="2"/>
        <v>1705517.4728000001</v>
      </c>
      <c r="M11" s="149">
        <f t="shared" si="2"/>
        <v>1705517.4728000001</v>
      </c>
      <c r="N11" s="149">
        <f t="shared" si="2"/>
        <v>1705517.4728000001</v>
      </c>
      <c r="O11" s="149">
        <f t="shared" si="2"/>
        <v>1705517.4728000001</v>
      </c>
      <c r="P11" s="149">
        <f t="shared" si="2"/>
        <v>1705517.4728000001</v>
      </c>
      <c r="Q11" s="150">
        <f t="shared" si="2"/>
        <v>1705517.4728000001</v>
      </c>
      <c r="R11" s="96">
        <f t="shared" si="4"/>
        <v>20466209.673600003</v>
      </c>
    </row>
    <row r="12" spans="2:19" x14ac:dyDescent="0.25">
      <c r="B12" s="151" t="s">
        <v>92</v>
      </c>
      <c r="C12" s="152">
        <v>8</v>
      </c>
      <c r="D12" s="148">
        <f>'REFERENČNÍ SPOTŘEBY'!U12</f>
        <v>302114.8</v>
      </c>
      <c r="E12" s="149">
        <f t="shared" si="3"/>
        <v>302114.8</v>
      </c>
      <c r="F12" s="149">
        <f t="shared" si="2"/>
        <v>302114.8</v>
      </c>
      <c r="G12" s="149">
        <f t="shared" si="2"/>
        <v>302114.8</v>
      </c>
      <c r="H12" s="149">
        <f t="shared" si="2"/>
        <v>302114.8</v>
      </c>
      <c r="I12" s="149">
        <f t="shared" si="2"/>
        <v>302114.8</v>
      </c>
      <c r="J12" s="149">
        <f t="shared" si="2"/>
        <v>302114.8</v>
      </c>
      <c r="K12" s="149">
        <f t="shared" si="2"/>
        <v>302114.8</v>
      </c>
      <c r="L12" s="149">
        <f t="shared" si="2"/>
        <v>302114.8</v>
      </c>
      <c r="M12" s="149">
        <f t="shared" si="2"/>
        <v>302114.8</v>
      </c>
      <c r="N12" s="149">
        <f t="shared" si="2"/>
        <v>302114.8</v>
      </c>
      <c r="O12" s="149">
        <f t="shared" si="2"/>
        <v>302114.8</v>
      </c>
      <c r="P12" s="149">
        <f t="shared" si="2"/>
        <v>302114.8</v>
      </c>
      <c r="Q12" s="150">
        <f t="shared" si="2"/>
        <v>302114.8</v>
      </c>
      <c r="R12" s="96">
        <f t="shared" si="4"/>
        <v>3625377.5999999992</v>
      </c>
    </row>
    <row r="13" spans="2:19" ht="15.75" thickBot="1" x14ac:dyDescent="0.3">
      <c r="B13" s="163" t="s">
        <v>93</v>
      </c>
      <c r="C13" s="154">
        <v>9</v>
      </c>
      <c r="D13" s="155">
        <f>'REFERENČNÍ SPOTŘEBY'!X12</f>
        <v>0</v>
      </c>
      <c r="E13" s="156">
        <f t="shared" si="3"/>
        <v>0</v>
      </c>
      <c r="F13" s="156">
        <f t="shared" si="2"/>
        <v>0</v>
      </c>
      <c r="G13" s="156">
        <f t="shared" si="2"/>
        <v>0</v>
      </c>
      <c r="H13" s="156">
        <f t="shared" si="2"/>
        <v>0</v>
      </c>
      <c r="I13" s="156">
        <f t="shared" si="2"/>
        <v>0</v>
      </c>
      <c r="J13" s="156">
        <f t="shared" si="2"/>
        <v>0</v>
      </c>
      <c r="K13" s="156">
        <f t="shared" si="2"/>
        <v>0</v>
      </c>
      <c r="L13" s="156">
        <f t="shared" si="2"/>
        <v>0</v>
      </c>
      <c r="M13" s="156">
        <f t="shared" si="2"/>
        <v>0</v>
      </c>
      <c r="N13" s="156">
        <f t="shared" si="2"/>
        <v>0</v>
      </c>
      <c r="O13" s="156">
        <f t="shared" si="2"/>
        <v>0</v>
      </c>
      <c r="P13" s="156">
        <f t="shared" si="2"/>
        <v>0</v>
      </c>
      <c r="Q13" s="157">
        <f t="shared" si="2"/>
        <v>0</v>
      </c>
      <c r="R13" s="96">
        <f t="shared" si="4"/>
        <v>0</v>
      </c>
    </row>
    <row r="14" spans="2:19" ht="15.75" thickBot="1" x14ac:dyDescent="0.3">
      <c r="B14" s="164" t="s">
        <v>94</v>
      </c>
      <c r="C14" s="165" t="s">
        <v>95</v>
      </c>
      <c r="D14" s="166">
        <f>SUM(D9:D13)</f>
        <v>4673498.2992402399</v>
      </c>
      <c r="E14" s="167">
        <f t="shared" ref="E14:Q14" si="5">SUM(E9:E13)</f>
        <v>4673498.2992402399</v>
      </c>
      <c r="F14" s="166">
        <f t="shared" si="5"/>
        <v>4673498.2992402399</v>
      </c>
      <c r="G14" s="166">
        <f t="shared" si="5"/>
        <v>4673498.2992402399</v>
      </c>
      <c r="H14" s="166">
        <f t="shared" si="5"/>
        <v>4673498.2992402399</v>
      </c>
      <c r="I14" s="166">
        <f t="shared" si="5"/>
        <v>4673498.2992402399</v>
      </c>
      <c r="J14" s="166">
        <f t="shared" si="5"/>
        <v>4673498.2992402399</v>
      </c>
      <c r="K14" s="166">
        <f t="shared" si="5"/>
        <v>4673498.2992402399</v>
      </c>
      <c r="L14" s="166">
        <f t="shared" si="5"/>
        <v>4673498.2992402399</v>
      </c>
      <c r="M14" s="166">
        <f t="shared" ref="M14:N14" si="6">SUM(M9:M13)</f>
        <v>4673498.2992402399</v>
      </c>
      <c r="N14" s="166">
        <f t="shared" si="6"/>
        <v>4673498.2992402399</v>
      </c>
      <c r="O14" s="166">
        <f t="shared" si="5"/>
        <v>4673498.2992402399</v>
      </c>
      <c r="P14" s="166">
        <f t="shared" si="5"/>
        <v>4673498.2992402399</v>
      </c>
      <c r="Q14" s="168">
        <f t="shared" si="5"/>
        <v>4673498.2992402399</v>
      </c>
      <c r="R14" s="96">
        <f>SUM(F14:Q14)</f>
        <v>56081979.590882875</v>
      </c>
    </row>
    <row r="15" spans="2:19" ht="15.75" thickBot="1" x14ac:dyDescent="0.3"/>
    <row r="16" spans="2:19" x14ac:dyDescent="0.25">
      <c r="B16" s="649" t="s">
        <v>166</v>
      </c>
      <c r="C16" s="650"/>
      <c r="D16" s="650"/>
      <c r="E16" s="650"/>
      <c r="F16" s="650"/>
      <c r="G16" s="650"/>
      <c r="H16" s="650"/>
      <c r="I16" s="650"/>
      <c r="J16" s="650"/>
      <c r="K16" s="650"/>
      <c r="L16" s="650"/>
      <c r="M16" s="650"/>
      <c r="N16" s="650"/>
      <c r="O16" s="650"/>
      <c r="P16" s="650"/>
      <c r="Q16" s="651"/>
      <c r="R16" s="169" t="s">
        <v>96</v>
      </c>
      <c r="S16" s="169" t="s">
        <v>97</v>
      </c>
    </row>
    <row r="17" spans="1:21" x14ac:dyDescent="0.25">
      <c r="B17" s="170" t="s">
        <v>86</v>
      </c>
      <c r="C17" s="147">
        <f>C13+1</f>
        <v>10</v>
      </c>
      <c r="D17" s="171" t="s">
        <v>65</v>
      </c>
      <c r="E17" s="172">
        <f>E5</f>
        <v>425649</v>
      </c>
      <c r="F17" s="173"/>
      <c r="G17" s="173"/>
      <c r="H17" s="173"/>
      <c r="I17" s="173"/>
      <c r="J17" s="173"/>
      <c r="K17" s="173"/>
      <c r="L17" s="173"/>
      <c r="M17" s="174"/>
      <c r="N17" s="174"/>
      <c r="O17" s="174"/>
      <c r="P17" s="174"/>
      <c r="Q17" s="175"/>
      <c r="R17" s="96">
        <f>SUM(F17:Q17)</f>
        <v>0</v>
      </c>
      <c r="S17" s="96">
        <f t="shared" ref="S17:S26" si="7">R5-R17</f>
        <v>5107788</v>
      </c>
      <c r="T17" s="78" t="s">
        <v>2</v>
      </c>
      <c r="U17" s="176">
        <f>S17/R5</f>
        <v>1</v>
      </c>
    </row>
    <row r="18" spans="1:21" x14ac:dyDescent="0.25">
      <c r="B18" s="151" t="s">
        <v>87</v>
      </c>
      <c r="C18" s="177">
        <f t="shared" ref="C18:C25" si="8">C17+1</f>
        <v>11</v>
      </c>
      <c r="D18" s="178" t="s">
        <v>65</v>
      </c>
      <c r="E18" s="172">
        <f t="shared" ref="E18:E25" si="9">E6</f>
        <v>1527964.2689999999</v>
      </c>
      <c r="F18" s="173"/>
      <c r="G18" s="173"/>
      <c r="H18" s="173"/>
      <c r="I18" s="173"/>
      <c r="J18" s="173"/>
      <c r="K18" s="173"/>
      <c r="L18" s="173"/>
      <c r="M18" s="174"/>
      <c r="N18" s="174"/>
      <c r="O18" s="174"/>
      <c r="P18" s="174"/>
      <c r="Q18" s="175"/>
      <c r="R18" s="96">
        <f>SUM(F18:Q18)</f>
        <v>0</v>
      </c>
      <c r="S18" s="96">
        <f t="shared" si="7"/>
        <v>18335571.227999996</v>
      </c>
      <c r="T18" s="78" t="s">
        <v>2</v>
      </c>
      <c r="U18" s="176">
        <f t="shared" ref="U18:U26" si="10">S18/R6</f>
        <v>1</v>
      </c>
    </row>
    <row r="19" spans="1:21" x14ac:dyDescent="0.25">
      <c r="B19" s="151" t="s">
        <v>141</v>
      </c>
      <c r="C19" s="177">
        <f t="shared" si="8"/>
        <v>12</v>
      </c>
      <c r="D19" s="178" t="s">
        <v>65</v>
      </c>
      <c r="E19" s="172">
        <f t="shared" si="9"/>
        <v>3680.92</v>
      </c>
      <c r="F19" s="173"/>
      <c r="G19" s="173"/>
      <c r="H19" s="173"/>
      <c r="I19" s="173"/>
      <c r="J19" s="173"/>
      <c r="K19" s="173"/>
      <c r="L19" s="173"/>
      <c r="M19" s="174"/>
      <c r="N19" s="174"/>
      <c r="O19" s="174"/>
      <c r="P19" s="174"/>
      <c r="Q19" s="175"/>
      <c r="R19" s="96">
        <f>SUM(F19:Q19)</f>
        <v>0</v>
      </c>
      <c r="S19" s="96">
        <f t="shared" si="7"/>
        <v>44171.039999999986</v>
      </c>
      <c r="T19" s="78" t="s">
        <v>0</v>
      </c>
      <c r="U19" s="176">
        <f t="shared" si="10"/>
        <v>1</v>
      </c>
    </row>
    <row r="20" spans="1:21" ht="15.75" thickBot="1" x14ac:dyDescent="0.3">
      <c r="B20" s="153" t="s">
        <v>88</v>
      </c>
      <c r="C20" s="179">
        <f t="shared" si="8"/>
        <v>13</v>
      </c>
      <c r="D20" s="180" t="s">
        <v>65</v>
      </c>
      <c r="E20" s="181">
        <f t="shared" si="9"/>
        <v>4919</v>
      </c>
      <c r="F20" s="182"/>
      <c r="G20" s="182"/>
      <c r="H20" s="182"/>
      <c r="I20" s="182"/>
      <c r="J20" s="182"/>
      <c r="K20" s="182"/>
      <c r="L20" s="182"/>
      <c r="M20" s="183"/>
      <c r="N20" s="183"/>
      <c r="O20" s="183"/>
      <c r="P20" s="183"/>
      <c r="Q20" s="184"/>
      <c r="R20" s="96">
        <f>SUM(F20:Q20)</f>
        <v>0</v>
      </c>
      <c r="S20" s="96">
        <f t="shared" si="7"/>
        <v>59028</v>
      </c>
      <c r="T20" s="78" t="s">
        <v>4</v>
      </c>
      <c r="U20" s="176">
        <f t="shared" si="10"/>
        <v>1</v>
      </c>
    </row>
    <row r="21" spans="1:21" x14ac:dyDescent="0.25">
      <c r="B21" s="158" t="s">
        <v>89</v>
      </c>
      <c r="C21" s="185">
        <f t="shared" si="8"/>
        <v>14</v>
      </c>
      <c r="D21" s="186" t="s">
        <v>65</v>
      </c>
      <c r="E21" s="187">
        <f t="shared" si="9"/>
        <v>1449075.1864402401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9"/>
      <c r="R21" s="96">
        <f>SUM(F21:Q21)</f>
        <v>0</v>
      </c>
      <c r="S21" s="96">
        <f t="shared" si="7"/>
        <v>17388902.237282883</v>
      </c>
      <c r="T21" s="78" t="s">
        <v>7</v>
      </c>
      <c r="U21" s="176">
        <f t="shared" si="10"/>
        <v>1</v>
      </c>
    </row>
    <row r="22" spans="1:21" x14ac:dyDescent="0.25">
      <c r="B22" s="151" t="s">
        <v>90</v>
      </c>
      <c r="C22" s="177">
        <f t="shared" si="8"/>
        <v>15</v>
      </c>
      <c r="D22" s="178" t="s">
        <v>65</v>
      </c>
      <c r="E22" s="172">
        <f t="shared" si="9"/>
        <v>1216790.8400000001</v>
      </c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5"/>
      <c r="R22" s="96">
        <f t="shared" ref="R22:R26" si="11">SUM(F22:Q22)</f>
        <v>0</v>
      </c>
      <c r="S22" s="96">
        <f t="shared" si="7"/>
        <v>14601490.08</v>
      </c>
      <c r="T22" s="78" t="s">
        <v>7</v>
      </c>
      <c r="U22" s="176">
        <f t="shared" si="10"/>
        <v>1</v>
      </c>
    </row>
    <row r="23" spans="1:21" x14ac:dyDescent="0.25">
      <c r="B23" s="151" t="s">
        <v>91</v>
      </c>
      <c r="C23" s="177">
        <f t="shared" si="8"/>
        <v>16</v>
      </c>
      <c r="D23" s="178" t="s">
        <v>65</v>
      </c>
      <c r="E23" s="172">
        <f t="shared" si="9"/>
        <v>1705517.4728000001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5"/>
      <c r="R23" s="96">
        <f t="shared" si="11"/>
        <v>0</v>
      </c>
      <c r="S23" s="96">
        <f t="shared" si="7"/>
        <v>20466209.673600003</v>
      </c>
      <c r="T23" s="78" t="s">
        <v>7</v>
      </c>
      <c r="U23" s="176">
        <f t="shared" si="10"/>
        <v>1</v>
      </c>
    </row>
    <row r="24" spans="1:21" x14ac:dyDescent="0.25">
      <c r="B24" s="151" t="s">
        <v>92</v>
      </c>
      <c r="C24" s="177">
        <f t="shared" si="8"/>
        <v>17</v>
      </c>
      <c r="D24" s="178" t="s">
        <v>65</v>
      </c>
      <c r="E24" s="172">
        <f t="shared" si="9"/>
        <v>302114.8</v>
      </c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5"/>
      <c r="R24" s="96">
        <f t="shared" si="11"/>
        <v>0</v>
      </c>
      <c r="S24" s="96">
        <f t="shared" si="7"/>
        <v>3625377.5999999992</v>
      </c>
      <c r="T24" s="78" t="s">
        <v>7</v>
      </c>
      <c r="U24" s="176">
        <f t="shared" si="10"/>
        <v>1</v>
      </c>
    </row>
    <row r="25" spans="1:21" ht="15.75" thickBot="1" x14ac:dyDescent="0.3">
      <c r="B25" s="163" t="s">
        <v>93</v>
      </c>
      <c r="C25" s="179">
        <f t="shared" si="8"/>
        <v>18</v>
      </c>
      <c r="D25" s="190" t="s">
        <v>65</v>
      </c>
      <c r="E25" s="181">
        <f t="shared" si="9"/>
        <v>0</v>
      </c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4"/>
      <c r="R25" s="96">
        <f t="shared" si="11"/>
        <v>0</v>
      </c>
      <c r="S25" s="96">
        <f t="shared" si="7"/>
        <v>0</v>
      </c>
      <c r="T25" s="78" t="s">
        <v>7</v>
      </c>
      <c r="U25" s="176"/>
    </row>
    <row r="26" spans="1:21" x14ac:dyDescent="0.25">
      <c r="B26" s="191" t="s">
        <v>98</v>
      </c>
      <c r="C26" s="192" t="s">
        <v>99</v>
      </c>
      <c r="D26" s="193"/>
      <c r="E26" s="194">
        <f t="shared" ref="E26:Q26" si="12">SUM(E21:E25)</f>
        <v>4673498.2992402399</v>
      </c>
      <c r="F26" s="195">
        <f t="shared" si="12"/>
        <v>0</v>
      </c>
      <c r="G26" s="195">
        <f t="shared" si="12"/>
        <v>0</v>
      </c>
      <c r="H26" s="195">
        <f t="shared" si="12"/>
        <v>0</v>
      </c>
      <c r="I26" s="195">
        <f t="shared" si="12"/>
        <v>0</v>
      </c>
      <c r="J26" s="195">
        <f t="shared" si="12"/>
        <v>0</v>
      </c>
      <c r="K26" s="195">
        <f t="shared" si="12"/>
        <v>0</v>
      </c>
      <c r="L26" s="195">
        <f t="shared" si="12"/>
        <v>0</v>
      </c>
      <c r="M26" s="195">
        <f t="shared" si="12"/>
        <v>0</v>
      </c>
      <c r="N26" s="195">
        <f t="shared" si="12"/>
        <v>0</v>
      </c>
      <c r="O26" s="195">
        <f t="shared" si="12"/>
        <v>0</v>
      </c>
      <c r="P26" s="195">
        <f t="shared" si="12"/>
        <v>0</v>
      </c>
      <c r="Q26" s="195">
        <f t="shared" si="12"/>
        <v>0</v>
      </c>
      <c r="R26" s="96">
        <f t="shared" si="11"/>
        <v>0</v>
      </c>
      <c r="S26" s="96">
        <f t="shared" si="7"/>
        <v>56081979.590882875</v>
      </c>
      <c r="T26" s="78" t="s">
        <v>7</v>
      </c>
      <c r="U26" s="176">
        <f t="shared" si="10"/>
        <v>1</v>
      </c>
    </row>
    <row r="27" spans="1:21" x14ac:dyDescent="0.25">
      <c r="B27" s="196"/>
      <c r="C27" s="197"/>
      <c r="D27" s="193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96"/>
    </row>
    <row r="28" spans="1:21" x14ac:dyDescent="0.25">
      <c r="A28" s="199"/>
      <c r="B28" s="647" t="s">
        <v>100</v>
      </c>
      <c r="C28" s="647"/>
      <c r="D28" s="647"/>
      <c r="E28" s="647"/>
      <c r="F28" s="647"/>
      <c r="G28" s="647"/>
      <c r="H28" s="647"/>
      <c r="I28" s="647"/>
      <c r="J28" s="647"/>
      <c r="K28" s="647"/>
      <c r="L28" s="647"/>
      <c r="M28" s="647"/>
      <c r="N28" s="647"/>
      <c r="O28" s="647"/>
      <c r="P28" s="647"/>
      <c r="Q28" s="647"/>
      <c r="R28" s="200"/>
      <c r="S28" s="199"/>
    </row>
    <row r="29" spans="1:21" x14ac:dyDescent="0.25">
      <c r="A29" s="199"/>
      <c r="B29" s="201" t="s">
        <v>101</v>
      </c>
      <c r="C29" s="297" t="s">
        <v>102</v>
      </c>
      <c r="D29" s="202"/>
      <c r="E29" s="203">
        <f>E14-E26</f>
        <v>0</v>
      </c>
      <c r="F29" s="203">
        <f>F14-F26</f>
        <v>4673498.2992402399</v>
      </c>
      <c r="G29" s="203">
        <f t="shared" ref="G29:Q29" si="13">G14-G26</f>
        <v>4673498.2992402399</v>
      </c>
      <c r="H29" s="203">
        <f t="shared" si="13"/>
        <v>4673498.2992402399</v>
      </c>
      <c r="I29" s="203">
        <f t="shared" si="13"/>
        <v>4673498.2992402399</v>
      </c>
      <c r="J29" s="203">
        <f t="shared" si="13"/>
        <v>4673498.2992402399</v>
      </c>
      <c r="K29" s="203">
        <f t="shared" si="13"/>
        <v>4673498.2992402399</v>
      </c>
      <c r="L29" s="203">
        <f t="shared" si="13"/>
        <v>4673498.2992402399</v>
      </c>
      <c r="M29" s="203">
        <f t="shared" si="13"/>
        <v>4673498.2992402399</v>
      </c>
      <c r="N29" s="203">
        <f t="shared" si="13"/>
        <v>4673498.2992402399</v>
      </c>
      <c r="O29" s="203">
        <f t="shared" si="13"/>
        <v>4673498.2992402399</v>
      </c>
      <c r="P29" s="203">
        <f t="shared" si="13"/>
        <v>4673498.2992402399</v>
      </c>
      <c r="Q29" s="203">
        <f t="shared" si="13"/>
        <v>4673498.2992402399</v>
      </c>
      <c r="R29" s="204">
        <f>SUM(F29:Q29)</f>
        <v>56081979.590882875</v>
      </c>
      <c r="S29" s="205" t="s">
        <v>147</v>
      </c>
    </row>
    <row r="30" spans="1:21" x14ac:dyDescent="0.25">
      <c r="B30" s="206"/>
      <c r="C30" s="207"/>
      <c r="D30" s="208"/>
      <c r="E30" s="209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96"/>
    </row>
    <row r="31" spans="1:21" x14ac:dyDescent="0.25">
      <c r="B31" s="652" t="s">
        <v>178</v>
      </c>
      <c r="C31" s="652"/>
      <c r="D31" s="652"/>
      <c r="E31" s="652"/>
      <c r="F31" s="652"/>
      <c r="G31" s="652"/>
      <c r="H31" s="652"/>
      <c r="I31" s="652"/>
      <c r="J31" s="652"/>
      <c r="K31" s="652"/>
      <c r="L31" s="652"/>
      <c r="M31" s="652"/>
      <c r="N31" s="652"/>
      <c r="O31" s="652"/>
      <c r="P31" s="652"/>
      <c r="Q31" s="652"/>
      <c r="R31" s="78"/>
    </row>
    <row r="32" spans="1:21" x14ac:dyDescent="0.25">
      <c r="B32" s="210" t="s">
        <v>165</v>
      </c>
      <c r="C32" s="192" t="s">
        <v>103</v>
      </c>
      <c r="D32" s="178" t="s">
        <v>65</v>
      </c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204">
        <f>SUM(E32:Q32)</f>
        <v>0</v>
      </c>
      <c r="S32" s="209" t="s">
        <v>180</v>
      </c>
      <c r="T32" s="211"/>
    </row>
    <row r="33" spans="2:20" x14ac:dyDescent="0.25">
      <c r="B33" s="212"/>
      <c r="C33" s="197"/>
      <c r="D33" s="213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94" t="str">
        <f>IF(R32='Investice a úspory'!D14,"OK","!")</f>
        <v>OK</v>
      </c>
      <c r="S33" s="215" t="s">
        <v>104</v>
      </c>
      <c r="T33" s="211"/>
    </row>
    <row r="34" spans="2:20" x14ac:dyDescent="0.25">
      <c r="B34" s="212"/>
      <c r="C34" s="197"/>
      <c r="D34" s="213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6"/>
      <c r="T34" s="211"/>
    </row>
    <row r="35" spans="2:20" x14ac:dyDescent="0.25">
      <c r="B35" s="652" t="s">
        <v>105</v>
      </c>
      <c r="C35" s="652"/>
      <c r="D35" s="652"/>
      <c r="E35" s="652"/>
      <c r="F35" s="652"/>
      <c r="G35" s="652"/>
      <c r="H35" s="652"/>
      <c r="I35" s="652"/>
      <c r="J35" s="652"/>
      <c r="K35" s="652"/>
      <c r="L35" s="652"/>
      <c r="M35" s="652"/>
      <c r="N35" s="652"/>
      <c r="O35" s="652"/>
      <c r="P35" s="652"/>
      <c r="Q35" s="652"/>
      <c r="R35" s="217"/>
    </row>
    <row r="36" spans="2:20" x14ac:dyDescent="0.25">
      <c r="B36" s="218" t="s">
        <v>106</v>
      </c>
      <c r="C36" s="177">
        <f>C25+1</f>
        <v>19</v>
      </c>
      <c r="D36" s="213" t="s">
        <v>65</v>
      </c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204">
        <f>SUM(E36:Q36)</f>
        <v>0</v>
      </c>
      <c r="S36" s="219" t="s">
        <v>148</v>
      </c>
      <c r="T36" s="211"/>
    </row>
    <row r="37" spans="2:20" x14ac:dyDescent="0.25">
      <c r="B37" s="218" t="s">
        <v>107</v>
      </c>
      <c r="C37" s="177">
        <f>C36+1</f>
        <v>20</v>
      </c>
      <c r="D37" s="213" t="s">
        <v>65</v>
      </c>
      <c r="E37" s="173"/>
      <c r="F37" s="173"/>
      <c r="G37" s="173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204">
        <f>SUM(E37:Q37)</f>
        <v>0</v>
      </c>
      <c r="S37" s="219" t="s">
        <v>173</v>
      </c>
    </row>
    <row r="38" spans="2:20" x14ac:dyDescent="0.25">
      <c r="B38" s="218" t="s">
        <v>108</v>
      </c>
      <c r="C38" s="177">
        <v>21</v>
      </c>
      <c r="D38" s="213" t="s">
        <v>65</v>
      </c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04">
        <f>SUM(E38:Q38)</f>
        <v>0</v>
      </c>
      <c r="S38" s="219" t="s">
        <v>174</v>
      </c>
    </row>
    <row r="39" spans="2:20" x14ac:dyDescent="0.25">
      <c r="B39" s="191" t="s">
        <v>142</v>
      </c>
      <c r="C39" s="192" t="s">
        <v>109</v>
      </c>
      <c r="D39" s="198"/>
      <c r="E39" s="221">
        <f t="shared" ref="E39:Q39" si="14">SUM(E36:E38)</f>
        <v>0</v>
      </c>
      <c r="F39" s="221">
        <f t="shared" si="14"/>
        <v>0</v>
      </c>
      <c r="G39" s="221">
        <f t="shared" si="14"/>
        <v>0</v>
      </c>
      <c r="H39" s="221">
        <f t="shared" si="14"/>
        <v>0</v>
      </c>
      <c r="I39" s="221">
        <f t="shared" si="14"/>
        <v>0</v>
      </c>
      <c r="J39" s="221">
        <f t="shared" si="14"/>
        <v>0</v>
      </c>
      <c r="K39" s="221">
        <f t="shared" si="14"/>
        <v>0</v>
      </c>
      <c r="L39" s="221">
        <f t="shared" si="14"/>
        <v>0</v>
      </c>
      <c r="M39" s="221">
        <f t="shared" si="14"/>
        <v>0</v>
      </c>
      <c r="N39" s="221">
        <f t="shared" si="14"/>
        <v>0</v>
      </c>
      <c r="O39" s="221">
        <f t="shared" si="14"/>
        <v>0</v>
      </c>
      <c r="P39" s="221">
        <f t="shared" si="14"/>
        <v>0</v>
      </c>
      <c r="Q39" s="221">
        <f t="shared" si="14"/>
        <v>0</v>
      </c>
      <c r="R39" s="96">
        <f>SUM(E39:Q39)</f>
        <v>0</v>
      </c>
    </row>
    <row r="40" spans="2:20" x14ac:dyDescent="0.25">
      <c r="B40" s="196"/>
      <c r="C40" s="197"/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96"/>
    </row>
    <row r="41" spans="2:20" x14ac:dyDescent="0.25">
      <c r="B41" s="647" t="s">
        <v>138</v>
      </c>
      <c r="C41" s="647"/>
      <c r="D41" s="647"/>
      <c r="E41" s="647"/>
      <c r="F41" s="647"/>
      <c r="G41" s="647"/>
      <c r="H41" s="647"/>
      <c r="I41" s="647"/>
      <c r="J41" s="647"/>
      <c r="K41" s="647"/>
      <c r="L41" s="647"/>
      <c r="M41" s="647"/>
      <c r="N41" s="647"/>
      <c r="O41" s="647"/>
      <c r="P41" s="647"/>
      <c r="Q41" s="647"/>
      <c r="R41" s="217"/>
    </row>
    <row r="42" spans="2:20" x14ac:dyDescent="0.25">
      <c r="B42" s="191" t="s">
        <v>146</v>
      </c>
      <c r="C42" s="192" t="s">
        <v>110</v>
      </c>
      <c r="D42" s="222"/>
      <c r="E42" s="223">
        <f>E32+E39</f>
        <v>0</v>
      </c>
      <c r="F42" s="223">
        <f t="shared" ref="F42:Q42" si="15">F32+F39</f>
        <v>0</v>
      </c>
      <c r="G42" s="223">
        <f t="shared" si="15"/>
        <v>0</v>
      </c>
      <c r="H42" s="223">
        <f t="shared" si="15"/>
        <v>0</v>
      </c>
      <c r="I42" s="223">
        <f t="shared" si="15"/>
        <v>0</v>
      </c>
      <c r="J42" s="223">
        <f t="shared" si="15"/>
        <v>0</v>
      </c>
      <c r="K42" s="223">
        <f t="shared" si="15"/>
        <v>0</v>
      </c>
      <c r="L42" s="223">
        <f t="shared" si="15"/>
        <v>0</v>
      </c>
      <c r="M42" s="223">
        <f t="shared" si="15"/>
        <v>0</v>
      </c>
      <c r="N42" s="223">
        <f t="shared" si="15"/>
        <v>0</v>
      </c>
      <c r="O42" s="223">
        <f t="shared" si="15"/>
        <v>0</v>
      </c>
      <c r="P42" s="223">
        <f t="shared" si="15"/>
        <v>0</v>
      </c>
      <c r="Q42" s="223">
        <f t="shared" si="15"/>
        <v>0</v>
      </c>
      <c r="R42" s="224">
        <f>SUM(E42:Q42)</f>
        <v>0</v>
      </c>
      <c r="S42" s="219" t="s">
        <v>149</v>
      </c>
    </row>
    <row r="43" spans="2:20" ht="8.25" customHeight="1" x14ac:dyDescent="0.25">
      <c r="B43" s="196"/>
      <c r="C43" s="197"/>
      <c r="D43" s="222"/>
      <c r="E43" s="222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S43" s="219"/>
    </row>
    <row r="44" spans="2:20" x14ac:dyDescent="0.25">
      <c r="B44" s="298"/>
    </row>
    <row r="45" spans="2:20" x14ac:dyDescent="0.25">
      <c r="B45" s="351" t="s">
        <v>266</v>
      </c>
      <c r="C45" s="296"/>
      <c r="D45" s="296"/>
      <c r="E45" s="296"/>
      <c r="F45" s="296"/>
      <c r="G45" s="296"/>
      <c r="H45" s="296"/>
      <c r="I45" s="296"/>
      <c r="J45" s="296"/>
      <c r="K45" s="296"/>
      <c r="L45" s="296"/>
      <c r="M45" s="296"/>
      <c r="N45" s="296"/>
      <c r="O45" s="296"/>
      <c r="P45" s="296"/>
      <c r="Q45" s="296"/>
    </row>
    <row r="46" spans="2:20" x14ac:dyDescent="0.25">
      <c r="B46" s="218" t="s">
        <v>168</v>
      </c>
      <c r="C46" s="177">
        <v>22</v>
      </c>
      <c r="D46" s="213" t="s">
        <v>65</v>
      </c>
      <c r="E46" s="358" t="s">
        <v>32</v>
      </c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308">
        <f>SUM(F46:Q46)</f>
        <v>0</v>
      </c>
    </row>
    <row r="47" spans="2:20" x14ac:dyDescent="0.25">
      <c r="B47" s="191" t="s">
        <v>172</v>
      </c>
      <c r="C47" s="228" t="s">
        <v>262</v>
      </c>
      <c r="D47" s="213"/>
      <c r="E47" s="203" t="s">
        <v>32</v>
      </c>
      <c r="F47" s="307">
        <f t="shared" ref="F47:R47" si="16">IF(F29=0,0,F46/F29)</f>
        <v>0</v>
      </c>
      <c r="G47" s="307">
        <f t="shared" si="16"/>
        <v>0</v>
      </c>
      <c r="H47" s="307">
        <f t="shared" si="16"/>
        <v>0</v>
      </c>
      <c r="I47" s="307">
        <f t="shared" si="16"/>
        <v>0</v>
      </c>
      <c r="J47" s="307">
        <f t="shared" si="16"/>
        <v>0</v>
      </c>
      <c r="K47" s="307">
        <f t="shared" si="16"/>
        <v>0</v>
      </c>
      <c r="L47" s="307">
        <f t="shared" si="16"/>
        <v>0</v>
      </c>
      <c r="M47" s="307">
        <f t="shared" si="16"/>
        <v>0</v>
      </c>
      <c r="N47" s="307">
        <f t="shared" si="16"/>
        <v>0</v>
      </c>
      <c r="O47" s="307">
        <f t="shared" si="16"/>
        <v>0</v>
      </c>
      <c r="P47" s="307">
        <f t="shared" si="16"/>
        <v>0</v>
      </c>
      <c r="Q47" s="307">
        <f t="shared" si="16"/>
        <v>0</v>
      </c>
      <c r="R47" s="305">
        <f t="shared" si="16"/>
        <v>0</v>
      </c>
      <c r="S47" s="205" t="s">
        <v>169</v>
      </c>
    </row>
    <row r="48" spans="2:20" x14ac:dyDescent="0.25">
      <c r="B48" s="212"/>
      <c r="C48" s="197"/>
      <c r="D48" s="213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</row>
    <row r="49" spans="2:19" x14ac:dyDescent="0.25">
      <c r="B49" s="353" t="s">
        <v>171</v>
      </c>
      <c r="C49" s="353"/>
      <c r="D49" s="225"/>
      <c r="E49" s="225"/>
      <c r="H49" s="227"/>
      <c r="I49" s="227"/>
      <c r="J49" s="227"/>
      <c r="K49" s="227"/>
      <c r="L49" s="227"/>
      <c r="M49" s="227"/>
      <c r="N49" s="227"/>
      <c r="O49" s="227"/>
      <c r="P49" s="227"/>
      <c r="Q49" s="227"/>
    </row>
    <row r="50" spans="2:19" x14ac:dyDescent="0.25">
      <c r="B50" s="354" t="s">
        <v>170</v>
      </c>
      <c r="C50" s="355" t="s">
        <v>111</v>
      </c>
      <c r="D50" s="229"/>
      <c r="E50" s="352">
        <f>R42-R29</f>
        <v>-56081979.590882875</v>
      </c>
      <c r="F50" s="356" t="s">
        <v>176</v>
      </c>
    </row>
    <row r="51" spans="2:19" x14ac:dyDescent="0.25">
      <c r="B51" s="298"/>
      <c r="C51" s="230"/>
      <c r="D51" s="231"/>
      <c r="E51" s="306"/>
      <c r="F51" s="357" t="s">
        <v>112</v>
      </c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</row>
    <row r="52" spans="2:19" x14ac:dyDescent="0.25">
      <c r="B52" s="233"/>
      <c r="C52" s="230"/>
      <c r="D52" s="231"/>
      <c r="E52" s="231"/>
      <c r="F52" s="357" t="s">
        <v>113</v>
      </c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2"/>
      <c r="S52" s="226"/>
    </row>
    <row r="53" spans="2:19" x14ac:dyDescent="0.25">
      <c r="F53" s="303"/>
    </row>
  </sheetData>
  <mergeCells count="7">
    <mergeCell ref="B41:Q41"/>
    <mergeCell ref="R2:R3"/>
    <mergeCell ref="B4:Q4"/>
    <mergeCell ref="B16:Q16"/>
    <mergeCell ref="B28:Q28"/>
    <mergeCell ref="B31:Q31"/>
    <mergeCell ref="B35:Q3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Klimadata</vt:lpstr>
      <vt:lpstr>01 Zámek č.p. 1</vt:lpstr>
      <vt:lpstr>02 Radnice č.p. 8</vt:lpstr>
      <vt:lpstr>03 ZŠ Nám. Míru</vt:lpstr>
      <vt:lpstr>04 ZŠ Školní</vt:lpstr>
      <vt:lpstr>05 MŠ Letná</vt:lpstr>
      <vt:lpstr>REFERENČNÍ SPOTŘEBY</vt:lpstr>
      <vt:lpstr>Investice a úspory</vt:lpstr>
      <vt:lpstr>Modelová nabídka</vt:lpstr>
      <vt:lpstr>Cenová příloha (dok. 5e ZD) </vt:lpstr>
      <vt:lpstr>Hodnocení nabídek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Kristína Šislingová</dc:creator>
  <cp:lastModifiedBy>Jiří Mazáček</cp:lastModifiedBy>
  <cp:lastPrinted>2017-01-05T11:00:09Z</cp:lastPrinted>
  <dcterms:created xsi:type="dcterms:W3CDTF">2015-11-02T08:48:42Z</dcterms:created>
  <dcterms:modified xsi:type="dcterms:W3CDTF">2018-12-17T10:09:30Z</dcterms:modified>
</cp:coreProperties>
</file>